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0" yWindow="60" windowWidth="2370" windowHeight="1170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  <sheet name="Лист1" sheetId="11" r:id="rId6"/>
  </sheets>
  <externalReferences>
    <externalReference r:id="rId7"/>
  </externalReferences>
  <definedNames>
    <definedName name="_xlnm._FilterDatabase" localSheetId="1" hidden="1">'Стандартные программы'!$A$1:$N$26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I18" i="7" l="1"/>
  <c r="I17" i="7"/>
  <c r="I16" i="7"/>
  <c r="I15" i="7"/>
  <c r="I13" i="7"/>
  <c r="I14" i="7" s="1"/>
  <c r="I12" i="7" l="1"/>
  <c r="G24" i="5" l="1"/>
  <c r="H4" i="7" l="1"/>
  <c r="F4" i="7" l="1"/>
  <c r="G18" i="7" l="1"/>
  <c r="H18" i="7"/>
  <c r="J18" i="7"/>
  <c r="K18" i="7"/>
  <c r="F18" i="7"/>
  <c r="K17" i="7" l="1"/>
  <c r="J17" i="7"/>
  <c r="H17" i="7"/>
  <c r="G17" i="7"/>
  <c r="F17" i="7"/>
  <c r="K15" i="7"/>
  <c r="J15" i="7"/>
  <c r="H15" i="7"/>
  <c r="G15" i="7"/>
  <c r="F15" i="7"/>
  <c r="K13" i="7"/>
  <c r="K14" i="7" s="1"/>
  <c r="J13" i="7"/>
  <c r="J14" i="7" s="1"/>
  <c r="H13" i="7"/>
  <c r="H14" i="7" s="1"/>
  <c r="G13" i="7"/>
  <c r="G14" i="7" s="1"/>
  <c r="K16" i="7"/>
  <c r="J16" i="7"/>
  <c r="H16" i="7"/>
  <c r="G16" i="7"/>
  <c r="F16" i="7"/>
  <c r="F14" i="7" l="1"/>
  <c r="G12" i="7"/>
  <c r="K12" i="7"/>
  <c r="H12" i="7"/>
  <c r="I3" i="5" s="1"/>
  <c r="J12" i="7"/>
  <c r="I18" i="5"/>
  <c r="I22" i="5" l="1"/>
  <c r="J22" i="5" s="1"/>
  <c r="I15" i="5"/>
  <c r="I19" i="5"/>
  <c r="I14" i="5"/>
  <c r="I23" i="5"/>
  <c r="I13" i="5"/>
  <c r="I17" i="5"/>
  <c r="I21" i="5"/>
  <c r="I12" i="5"/>
  <c r="I16" i="5"/>
  <c r="I20" i="5"/>
  <c r="J18" i="5"/>
  <c r="F12" i="7"/>
  <c r="I5" i="5"/>
  <c r="J5" i="5" s="1"/>
  <c r="I4" i="5"/>
  <c r="J4" i="5" s="1"/>
  <c r="I11" i="5"/>
  <c r="J11" i="5" s="1"/>
  <c r="I9" i="5"/>
  <c r="J9" i="5" s="1"/>
  <c r="I6" i="5"/>
  <c r="J6" i="5" s="1"/>
  <c r="J3" i="5"/>
  <c r="I2" i="5"/>
  <c r="I10" i="5"/>
  <c r="J10" i="5" s="1"/>
  <c r="I7" i="5"/>
  <c r="J7" i="5" s="1"/>
  <c r="G21" i="7" l="1"/>
  <c r="G23" i="7"/>
  <c r="I8" i="5"/>
  <c r="J8" i="5" s="1"/>
  <c r="G24" i="7"/>
  <c r="L3" i="7"/>
  <c r="N3" i="7" s="1"/>
  <c r="J3" i="7"/>
  <c r="J16" i="5"/>
  <c r="J17" i="5"/>
  <c r="J14" i="5"/>
  <c r="J15" i="5"/>
  <c r="J20" i="5"/>
  <c r="J21" i="5"/>
  <c r="J23" i="5"/>
  <c r="J19" i="5"/>
  <c r="J12" i="5"/>
  <c r="J13" i="5"/>
  <c r="J2" i="5"/>
  <c r="M3" i="7" l="1"/>
  <c r="M4" i="7" s="1"/>
  <c r="K22" i="5"/>
  <c r="M22" i="5"/>
  <c r="M18" i="5"/>
  <c r="M13" i="5"/>
  <c r="K13" i="5"/>
  <c r="K23" i="5"/>
  <c r="M23" i="5"/>
  <c r="M20" i="5"/>
  <c r="K20" i="5"/>
  <c r="K14" i="5"/>
  <c r="M14" i="5"/>
  <c r="M16" i="5"/>
  <c r="K16" i="5"/>
  <c r="K18" i="5"/>
  <c r="M12" i="5"/>
  <c r="K12" i="5"/>
  <c r="M9" i="5"/>
  <c r="M8" i="5"/>
  <c r="K19" i="5"/>
  <c r="M19" i="5"/>
  <c r="M21" i="5"/>
  <c r="K21" i="5"/>
  <c r="K15" i="5"/>
  <c r="M15" i="5"/>
  <c r="M17" i="5"/>
  <c r="K17" i="5"/>
  <c r="M4" i="5"/>
  <c r="M3" i="5"/>
  <c r="M5" i="5"/>
  <c r="M10" i="5"/>
  <c r="M11" i="5"/>
  <c r="M6" i="5"/>
  <c r="M7" i="5"/>
  <c r="K2" i="5"/>
  <c r="M2" i="5"/>
  <c r="K5" i="5"/>
  <c r="K7" i="5"/>
  <c r="K9" i="5"/>
  <c r="K6" i="5"/>
  <c r="K3" i="5"/>
  <c r="K11" i="5"/>
  <c r="K10" i="5"/>
  <c r="K4" i="5"/>
  <c r="K8" i="5"/>
  <c r="L22" i="5" l="1"/>
  <c r="N22" i="5"/>
  <c r="L12" i="5"/>
  <c r="N12" i="5"/>
  <c r="L16" i="5"/>
  <c r="N16" i="5"/>
  <c r="P16" i="5" s="1"/>
  <c r="L20" i="5"/>
  <c r="N20" i="5"/>
  <c r="P20" i="5" s="1"/>
  <c r="L18" i="5"/>
  <c r="N18" i="5"/>
  <c r="P18" i="5" s="1"/>
  <c r="L14" i="5"/>
  <c r="N14" i="5"/>
  <c r="P14" i="5" s="1"/>
  <c r="L23" i="5"/>
  <c r="N23" i="5"/>
  <c r="P23" i="5" s="1"/>
  <c r="L17" i="5"/>
  <c r="N17" i="5"/>
  <c r="P17" i="5" s="1"/>
  <c r="L21" i="5"/>
  <c r="N21" i="5"/>
  <c r="P21" i="5" s="1"/>
  <c r="L15" i="5"/>
  <c r="N15" i="5"/>
  <c r="P15" i="5" s="1"/>
  <c r="L19" i="5"/>
  <c r="N19" i="5"/>
  <c r="P19" i="5" s="1"/>
  <c r="L13" i="5"/>
  <c r="N13" i="5"/>
  <c r="P13" i="5" s="1"/>
  <c r="M24" i="5"/>
  <c r="N4" i="5"/>
  <c r="P4" i="5" s="1"/>
  <c r="L4" i="5"/>
  <c r="N2" i="5"/>
  <c r="P2" i="5" s="1"/>
  <c r="L2" i="5"/>
  <c r="N10" i="5"/>
  <c r="P10" i="5" s="1"/>
  <c r="L10" i="5"/>
  <c r="P12" i="5"/>
  <c r="N3" i="5"/>
  <c r="P3" i="5" s="1"/>
  <c r="L3" i="5"/>
  <c r="N6" i="5"/>
  <c r="P6" i="5" s="1"/>
  <c r="L6" i="5"/>
  <c r="N7" i="5"/>
  <c r="P7" i="5" s="1"/>
  <c r="L7" i="5"/>
  <c r="N9" i="5"/>
  <c r="P9" i="5" s="1"/>
  <c r="L9" i="5"/>
  <c r="N5" i="5"/>
  <c r="P5" i="5" s="1"/>
  <c r="L5" i="5"/>
  <c r="N8" i="5"/>
  <c r="P8" i="5" s="1"/>
  <c r="L8" i="5"/>
  <c r="N11" i="5"/>
  <c r="P11" i="5" s="1"/>
  <c r="L11" i="5"/>
  <c r="L24" i="5" l="1"/>
  <c r="O3" i="7" l="1"/>
  <c r="O4" i="7" s="1"/>
</calcChain>
</file>

<file path=xl/sharedStrings.xml><?xml version="1.0" encoding="utf-8"?>
<sst xmlns="http://schemas.openxmlformats.org/spreadsheetml/2006/main" count="406" uniqueCount="81">
  <si>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</si>
  <si>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</si>
  <si>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</si>
  <si>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</si>
  <si>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</si>
  <si>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</si>
  <si>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</si>
  <si>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</si>
  <si>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</si>
  <si>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</si>
  <si>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</si>
  <si>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</si>
  <si>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</si>
  <si>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</si>
  <si>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</si>
  <si>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</si>
  <si>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</si>
  <si>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</si>
  <si>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</si>
  <si>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</si>
  <si>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</si>
  <si>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</si>
  <si>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</si>
  <si>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</si>
  <si>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</si>
  <si>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</si>
  <si>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</si>
  <si>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</si>
  <si>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</si>
  <si>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</si>
  <si>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</si>
  <si>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</si>
  <si>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</si>
  <si>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</si>
  <si>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</si>
  <si>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</si>
  <si>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</si>
  <si>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</si>
  <si>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Организация 3</t>
  </si>
  <si>
    <t>Установленный охват общий, %</t>
  </si>
  <si>
    <t>Число сертификатов общее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</si>
  <si>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</si>
  <si>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</si>
  <si>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</si>
  <si>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</si>
  <si>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</si>
  <si>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</si>
  <si>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</si>
  <si>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</si>
  <si>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</si>
  <si>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</si>
  <si>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</si>
  <si>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Стоимость инклюзивного оборудования на группу, рублей</t>
  </si>
  <si>
    <t>Средняя наполняемость групп по адаптированным программам</t>
  </si>
  <si>
    <t>Программа в дистанционной форме</t>
  </si>
  <si>
    <t>Программа в очно-заочной форме</t>
  </si>
  <si>
    <t>% заочных часов</t>
  </si>
  <si>
    <t>Объем муниципального задания ПФ ДОД, человеко-часов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</si>
  <si>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</si>
  <si>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</si>
  <si>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</si>
  <si>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</si>
  <si>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</si>
  <si>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Номинал сертификата для детей от 5 до 18 лет с ОВЗ, рублей*</t>
  </si>
  <si>
    <t>Номинал сертификата для  детей от 5 до 18 лет, рублей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</si>
  <si>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</si>
  <si>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</si>
  <si>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В том числе на гранты в форме субсидий (допустимое значение от 0 % до 10%)</t>
  </si>
  <si>
    <t>МУ Ухоловский</t>
  </si>
  <si>
    <t>МБУ ДО "ДЮЦ"</t>
  </si>
  <si>
    <t>"Фантазеры"</t>
  </si>
  <si>
    <t>"Мир танца"</t>
  </si>
  <si>
    <t>"Петрушка"</t>
  </si>
  <si>
    <t>"Хочу всё знать"</t>
  </si>
  <si>
    <t>"Волшебные краски"</t>
  </si>
  <si>
    <t>"Давайте рисовать"</t>
  </si>
  <si>
    <t>"Самоделкин"</t>
  </si>
  <si>
    <t>"ОФП"</t>
  </si>
  <si>
    <t>"Футбол"</t>
  </si>
  <si>
    <t>"Шахматы и шашки"</t>
  </si>
  <si>
    <t>"Юнкор"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</si>
</sst>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_₽_-;\-* #,##0\ _₽_-;_-* &quot;-&quot;\ _₽_-;_-@_-"/>
    <numFmt numFmtId="165" formatCode="_-* #,##0.00\ &quot;₽&quot;_-;\-* #,##0.00\ &quot;₽&quot;_-;_-* &quot;-&quot;??\ &quot;₽&quot;_-;_-@_-"/>
    <numFmt numFmtId="166" formatCode="_-* #,##0.00\ _₽_-;\-* #,##0.00\ _₽_-;_-* &quot;-&quot;??\ _₽_-;_-@_-"/>
    <numFmt numFmtId="167" formatCode="#,##0.00\ &quot;₽&quot;"/>
    <numFmt numFmtId="168" formatCode="#,##0\ &quot;₽&quot;"/>
    <numFmt numFmtId="169" formatCode="0.00_ ;[Red]\-0.00\ "/>
    <numFmt numFmtId="170" formatCode="0.0%"/>
    <numFmt numFmtId="171" formatCode="#,##0_ ;\-#,##0\ "/>
  </numFmts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7" fillId="0" borderId="0"/>
  </cellStyleXfs>
  <cellXfs count="104">
    <xf numFmtId="0" fontId="0" fillId="0" borderId="0" xfId="0"/>
    <xf numFmtId="2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8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7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166" fontId="0" fillId="0" borderId="1" xfId="1" applyFont="1" applyBorder="1" applyAlignment="1">
      <alignment wrapText="1"/>
    </xf>
    <xf numFmtId="166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6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6" fontId="0" fillId="0" borderId="0" xfId="1" applyFont="1" applyProtection="1">
      <protection locked="0"/>
    </xf>
    <xf numFmtId="0" fontId="7" fillId="2" borderId="0" xfId="0" applyFont="1" applyFill="1" applyAlignment="1">
      <alignment horizontal="left" wrapText="1"/>
    </xf>
    <xf numFmtId="167" fontId="7" fillId="2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1" applyFont="1" applyBorder="1" applyAlignment="1" applyProtection="1">
      <alignment horizontal="center" vertical="center" wrapText="1"/>
      <protection locked="0"/>
    </xf>
    <xf numFmtId="166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167" fontId="0" fillId="2" borderId="0" xfId="0" applyNumberFormat="1" applyFill="1" applyAlignment="1">
      <alignment wrapText="1"/>
    </xf>
    <xf numFmtId="165" fontId="3" fillId="0" borderId="0" xfId="3" applyFont="1" applyAlignment="1">
      <alignment vertical="center" wrapText="1"/>
    </xf>
    <xf numFmtId="166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166" fontId="14" fillId="0" borderId="1" xfId="1" applyFont="1" applyBorder="1" applyAlignment="1">
      <alignment horizontal="center" vertical="center" wrapText="1"/>
    </xf>
    <xf numFmtId="166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166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165" fontId="3" fillId="0" borderId="0" xfId="3" applyFont="1" applyFill="1" applyAlignment="1">
      <alignment horizontal="center" vertical="center" wrapText="1"/>
    </xf>
    <xf numFmtId="169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165" fontId="18" fillId="0" borderId="0" xfId="3" applyFont="1" applyAlignment="1">
      <alignment horizontal="center" vertical="center" wrapText="1"/>
    </xf>
    <xf numFmtId="0" fontId="19" fillId="0" borderId="0" xfId="0" applyFont="1" applyAlignment="1">
      <alignment wrapText="1"/>
    </xf>
    <xf numFmtId="164" fontId="0" fillId="0" borderId="1" xfId="1" applyNumberFormat="1" applyFont="1" applyBorder="1" applyAlignment="1">
      <alignment wrapText="1"/>
    </xf>
    <xf numFmtId="166" fontId="7" fillId="0" borderId="1" xfId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9" fontId="0" fillId="0" borderId="0" xfId="0" applyNumberFormat="1" applyFont="1" applyFill="1" applyAlignment="1" applyProtection="1">
      <alignment horizontal="center" vertical="center" wrapText="1"/>
      <protection locked="0"/>
    </xf>
    <xf numFmtId="10" fontId="3" fillId="0" borderId="0" xfId="2" applyNumberFormat="1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171" fontId="0" fillId="0" borderId="1" xfId="1" applyNumberFormat="1" applyFont="1" applyFill="1" applyBorder="1" applyAlignment="1">
      <alignment wrapText="1"/>
    </xf>
    <xf numFmtId="171" fontId="7" fillId="0" borderId="1" xfId="1" applyNumberFormat="1" applyFont="1" applyBorder="1" applyAlignment="1">
      <alignment wrapText="1"/>
    </xf>
    <xf numFmtId="0" fontId="21" fillId="0" borderId="0" xfId="0" applyFont="1" applyAlignment="1">
      <alignment horizont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wrapText="1"/>
    </xf>
    <xf numFmtId="169" fontId="0" fillId="2" borderId="0" xfId="0" applyNumberFormat="1" applyFont="1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2" applyNumberFormat="1" applyFont="1" applyFill="1" applyAlignment="1">
      <alignment horizontal="center" vertical="center" wrapText="1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wrapText="1"/>
    </xf>
    <xf numFmtId="170" fontId="0" fillId="3" borderId="1" xfId="2" applyNumberFormat="1" applyFont="1" applyFill="1" applyBorder="1" applyAlignment="1">
      <alignment wrapText="1"/>
    </xf>
    <xf numFmtId="165" fontId="0" fillId="0" borderId="0" xfId="3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166" fontId="0" fillId="4" borderId="0" xfId="0" applyNumberFormat="1" applyFill="1" applyAlignment="1">
      <alignment wrapText="1"/>
    </xf>
    <xf numFmtId="9" fontId="0" fillId="4" borderId="0" xfId="2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6" fontId="22" fillId="3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Alignment="1">
      <alignment horizontal="center" wrapText="1"/>
    </xf>
    <xf numFmtId="165" fontId="3" fillId="0" borderId="0" xfId="3" applyFont="1" applyFill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169" fontId="0" fillId="0" borderId="0" xfId="0" applyNumberFormat="1" applyFont="1" applyAlignment="1">
      <alignment horizontal="center" vertical="top" wrapText="1"/>
    </xf>
    <xf numFmtId="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166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/>
    <cellStyle name="Обычный 2 2" xfId="5"/>
    <cellStyle name="Процентный" xfId="2" builtinId="5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18</xdr:row>
      <xdr:rowOff>228600</xdr:rowOff>
    </xdr:from>
    <xdr:to>
      <xdr:col>2</xdr:col>
      <xdr:colOff>0</xdr:colOff>
      <xdr:row>19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17</xdr:row>
      <xdr:rowOff>203200</xdr:rowOff>
    </xdr:from>
    <xdr:to>
      <xdr:col>1</xdr:col>
      <xdr:colOff>571500</xdr:colOff>
      <xdr:row>17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10</xdr:row>
      <xdr:rowOff>187325</xdr:rowOff>
    </xdr:from>
    <xdr:to>
      <xdr:col>1</xdr:col>
      <xdr:colOff>342900</xdr:colOff>
      <xdr:row>10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6</xdr:row>
      <xdr:rowOff>114300</xdr:rowOff>
    </xdr:from>
    <xdr:to>
      <xdr:col>1</xdr:col>
      <xdr:colOff>609600</xdr:colOff>
      <xdr:row>6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9</xdr:row>
      <xdr:rowOff>241300</xdr:rowOff>
    </xdr:from>
    <xdr:to>
      <xdr:col>1</xdr:col>
      <xdr:colOff>571500</xdr:colOff>
      <xdr:row>9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7</xdr:row>
      <xdr:rowOff>215900</xdr:rowOff>
    </xdr:from>
    <xdr:to>
      <xdr:col>1</xdr:col>
      <xdr:colOff>596900</xdr:colOff>
      <xdr:row>7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139700</xdr:rowOff>
    </xdr:from>
    <xdr:to>
      <xdr:col>1</xdr:col>
      <xdr:colOff>584200</xdr:colOff>
      <xdr:row>8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3;&#1072;&#1074;&#1080;&#1075;&#1072;&#1090;&#1086;&#1088;&#1099;\&#1052;&#1045;&#1058;&#1054;&#1044;\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87" zoomScaleNormal="87" workbookViewId="0">
      <selection activeCell="L16" sqref="L16"/>
    </sheetView>
  </sheetViews>
  <sheetFormatPr defaultColWidth="10.875" defaultRowHeight="15.75" x14ac:dyDescent="0.25"/>
  <cols>
    <col min="1" max="1" width="26.375" style="31" customWidth="1"/>
    <col min="2" max="2" width="11.625" style="31" customWidth="1"/>
    <col min="3" max="3" width="13.375" style="31" customWidth="1"/>
    <col min="4" max="4" width="3.5" style="31" customWidth="1"/>
    <col min="5" max="5" width="31.125" style="31" customWidth="1"/>
    <col min="6" max="6" width="12.375" style="31" bestFit="1" customWidth="1"/>
    <col min="7" max="7" width="13.125" style="31" customWidth="1"/>
    <col min="8" max="8" width="11.25" style="33" customWidth="1"/>
    <col min="9" max="9" width="14.875" style="33" customWidth="1"/>
    <col min="10" max="10" width="14.375" style="31" customWidth="1"/>
    <col min="11" max="11" width="15.875" style="31" customWidth="1"/>
    <col min="12" max="12" width="14.625" style="33" customWidth="1"/>
    <col min="13" max="13" width="16.875" style="31" customWidth="1"/>
    <col min="14" max="14" width="16.875" style="33" customWidth="1"/>
    <col min="15" max="15" width="28.375" style="31" customWidth="1"/>
    <col min="16" max="16" width="20.375" style="31" customWidth="1"/>
    <col min="17" max="16384" width="10.875" style="31"/>
  </cols>
  <sheetData>
    <row r="1" spans="1:16" s="33" customFormat="1" ht="16.149999999999999" customHeight="1" x14ac:dyDescent="0.25">
      <c r="I1" s="96"/>
      <c r="J1" s="96"/>
      <c r="K1" s="96"/>
      <c r="L1" s="96"/>
      <c r="M1" s="62"/>
      <c r="N1" s="62"/>
    </row>
    <row r="2" spans="1:16" ht="140.44999999999999" customHeight="1" x14ac:dyDescent="0.25">
      <c r="A2" s="89" t="s">
        <v>0</v>
      </c>
      <c r="B2" s="89"/>
      <c r="C2" s="99" t="s">
        <v>35</v>
      </c>
      <c r="D2" s="99"/>
      <c r="E2" s="46" t="s">
        <v>42</v>
      </c>
      <c r="F2" s="46" t="s">
        <v>39</v>
      </c>
      <c r="G2" s="46" t="s">
        <v>40</v>
      </c>
      <c r="H2" s="63" t="s">
        <v>45</v>
      </c>
      <c r="I2" s="64" t="s">
        <v>61</v>
      </c>
      <c r="J2" s="80" t="s">
        <v>64</v>
      </c>
      <c r="K2" s="64" t="s">
        <v>62</v>
      </c>
      <c r="L2" s="79" t="s">
        <v>63</v>
      </c>
      <c r="M2" s="81" t="s">
        <v>66</v>
      </c>
      <c r="N2" s="81" t="s">
        <v>65</v>
      </c>
      <c r="O2" s="75" t="s">
        <v>67</v>
      </c>
      <c r="P2" s="97" t="s">
        <v>60</v>
      </c>
    </row>
    <row r="3" spans="1:16" s="33" customFormat="1" ht="35.1" customHeight="1" x14ac:dyDescent="0.25">
      <c r="A3" s="90" t="s">
        <v>68</v>
      </c>
      <c r="B3" s="90"/>
      <c r="C3" s="100">
        <v>2280000</v>
      </c>
      <c r="D3" s="100"/>
      <c r="E3" s="65">
        <v>1137</v>
      </c>
      <c r="F3" s="53">
        <v>0.75</v>
      </c>
      <c r="G3" s="65">
        <v>853</v>
      </c>
      <c r="H3" s="54">
        <v>0.25</v>
      </c>
      <c r="I3" s="65">
        <v>285</v>
      </c>
      <c r="J3" s="35">
        <f>ROUNDUP(MAX(F12:K12)*E4,-1)</f>
        <v>8000</v>
      </c>
      <c r="K3" s="74">
        <v>0</v>
      </c>
      <c r="L3" s="35">
        <f>ROUNDUP(MAX(F12:K12)*G21*E5,-1)</f>
        <v>0</v>
      </c>
      <c r="M3" s="35">
        <f>J3*I3</f>
        <v>2280000</v>
      </c>
      <c r="N3" s="35">
        <f>K3*L3</f>
        <v>0</v>
      </c>
      <c r="O3" s="76">
        <f>(M3+N3)-('Стандартные программы'!L24+'Дистанционные программы'!L39+'Очно-заочные программы'!L39+'Адаптированные программы'!L39)</f>
        <v>85589.4</v>
      </c>
      <c r="P3" s="97"/>
    </row>
    <row r="4" spans="1:16" s="33" customFormat="1" ht="50.45" customHeight="1" x14ac:dyDescent="0.25">
      <c r="A4" s="44"/>
      <c r="B4" s="92" t="s">
        <v>58</v>
      </c>
      <c r="C4" s="93"/>
      <c r="D4" s="93"/>
      <c r="E4" s="66">
        <v>72</v>
      </c>
      <c r="F4" s="98" t="str">
        <f>IF(G3&lt;F3*E3,"Охват недостаточен"," ")</f>
        <v xml:space="preserve"> </v>
      </c>
      <c r="G4" s="98"/>
      <c r="H4" s="98" t="str">
        <f>IF((I3+K3)&lt;H3*E3,"Охват недостаточен"," ")</f>
        <v xml:space="preserve"> </v>
      </c>
      <c r="I4" s="98"/>
      <c r="J4" s="94" t="s">
        <v>37</v>
      </c>
      <c r="K4" s="94"/>
      <c r="L4" s="95"/>
      <c r="M4" s="48" t="str">
        <f>IF(C3&lt;(M3+N3),(M3+N3)-C3,"не требуется")</f>
        <v>не требуется</v>
      </c>
      <c r="N4" s="48"/>
      <c r="O4" s="77">
        <f>O3/M3</f>
        <v>0.04</v>
      </c>
      <c r="P4" s="45"/>
    </row>
    <row r="5" spans="1:16" s="33" customFormat="1" ht="50.45" customHeight="1" x14ac:dyDescent="0.25">
      <c r="A5" s="44"/>
      <c r="B5" s="92" t="s">
        <v>59</v>
      </c>
      <c r="C5" s="93"/>
      <c r="D5" s="93"/>
      <c r="E5" s="66">
        <v>0</v>
      </c>
      <c r="F5" s="59"/>
      <c r="G5" s="59"/>
      <c r="H5" s="59"/>
      <c r="I5" s="59"/>
      <c r="J5" s="61"/>
      <c r="K5" s="61"/>
      <c r="L5" s="61"/>
      <c r="M5" s="48"/>
      <c r="N5" s="48"/>
      <c r="O5" s="73"/>
      <c r="P5" s="45"/>
    </row>
    <row r="6" spans="1:16" ht="33.75" customHeight="1" x14ac:dyDescent="0.25">
      <c r="A6" s="88" t="s">
        <v>25</v>
      </c>
      <c r="B6" s="88"/>
      <c r="C6" s="68">
        <v>39408</v>
      </c>
      <c r="D6" s="4"/>
      <c r="F6" s="91"/>
      <c r="G6" s="91"/>
      <c r="H6" s="91"/>
      <c r="I6" s="91"/>
      <c r="J6" s="91"/>
      <c r="K6" s="91"/>
      <c r="L6" s="60"/>
      <c r="M6" s="47"/>
      <c r="N6" s="47"/>
      <c r="O6" s="47"/>
      <c r="P6" s="47"/>
    </row>
    <row r="7" spans="1:16" ht="46.15" customHeight="1" x14ac:dyDescent="0.25">
      <c r="A7" s="3" t="s">
        <v>10</v>
      </c>
      <c r="B7"/>
      <c r="C7" s="67">
        <v>0.25</v>
      </c>
      <c r="D7" s="1"/>
      <c r="E7" s="5" t="s">
        <v>9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7</v>
      </c>
      <c r="K7" s="30" t="s">
        <v>43</v>
      </c>
      <c r="L7" s="30"/>
    </row>
    <row r="8" spans="1:16" ht="30" customHeight="1" x14ac:dyDescent="0.35">
      <c r="A8" s="3" t="s">
        <v>12</v>
      </c>
      <c r="B8"/>
      <c r="C8" s="68">
        <v>750</v>
      </c>
      <c r="D8" s="1"/>
      <c r="E8" s="3" t="s">
        <v>33</v>
      </c>
      <c r="F8" s="69">
        <v>120</v>
      </c>
      <c r="G8" s="69">
        <v>120</v>
      </c>
      <c r="H8" s="69">
        <v>120</v>
      </c>
      <c r="I8" s="69">
        <v>120</v>
      </c>
      <c r="J8" s="69">
        <v>120</v>
      </c>
      <c r="K8" s="69">
        <v>120</v>
      </c>
      <c r="L8" s="69"/>
      <c r="M8" s="78"/>
      <c r="N8" s="78"/>
      <c r="O8" s="33"/>
      <c r="P8" s="33"/>
    </row>
    <row r="9" spans="1:16" ht="34.5" x14ac:dyDescent="0.35">
      <c r="A9" s="3" t="s">
        <v>14</v>
      </c>
      <c r="B9"/>
      <c r="C9" s="68">
        <v>2400</v>
      </c>
      <c r="D9" s="1"/>
      <c r="E9" s="3" t="s">
        <v>34</v>
      </c>
      <c r="F9" s="69">
        <v>72</v>
      </c>
      <c r="G9" s="69">
        <v>72</v>
      </c>
      <c r="H9" s="69">
        <v>72</v>
      </c>
      <c r="I9" s="69">
        <v>72</v>
      </c>
      <c r="J9" s="69">
        <v>72</v>
      </c>
      <c r="K9" s="69">
        <v>72</v>
      </c>
      <c r="L9" s="69"/>
      <c r="M9" s="78"/>
      <c r="N9" s="78"/>
      <c r="O9" s="33"/>
      <c r="P9" s="33"/>
    </row>
    <row r="10" spans="1:16" ht="47.25" x14ac:dyDescent="0.25">
      <c r="A10" s="3" t="s">
        <v>16</v>
      </c>
      <c r="B10"/>
      <c r="C10" s="67">
        <v>4.04</v>
      </c>
      <c r="E10" s="6" t="s">
        <v>11</v>
      </c>
      <c r="F10" s="70">
        <v>10</v>
      </c>
      <c r="G10" s="70">
        <v>10</v>
      </c>
      <c r="H10" s="70">
        <v>10</v>
      </c>
      <c r="I10" s="70">
        <v>10</v>
      </c>
      <c r="J10" s="70">
        <v>10</v>
      </c>
      <c r="K10" s="70">
        <v>10</v>
      </c>
      <c r="L10" s="70"/>
      <c r="M10" s="78"/>
      <c r="N10" s="78"/>
      <c r="O10" s="33"/>
      <c r="P10" s="33"/>
    </row>
    <row r="11" spans="1:16" ht="45" customHeight="1" x14ac:dyDescent="0.25">
      <c r="A11" s="3" t="s">
        <v>18</v>
      </c>
      <c r="B11"/>
      <c r="C11" s="2"/>
      <c r="E11" s="6" t="s">
        <v>13</v>
      </c>
      <c r="F11" s="70">
        <v>20</v>
      </c>
      <c r="G11" s="70">
        <v>20</v>
      </c>
      <c r="H11" s="70">
        <v>20</v>
      </c>
      <c r="I11" s="70">
        <v>20</v>
      </c>
      <c r="J11" s="70">
        <v>20</v>
      </c>
      <c r="K11" s="70">
        <v>20</v>
      </c>
      <c r="L11" s="70"/>
      <c r="M11" s="78"/>
      <c r="N11" s="78"/>
      <c r="O11" s="33"/>
      <c r="P11" s="33"/>
    </row>
    <row r="12" spans="1:16" ht="31.9" customHeight="1" x14ac:dyDescent="0.25">
      <c r="A12" s="8" t="s">
        <v>3</v>
      </c>
      <c r="B12" s="3"/>
      <c r="C12" s="68">
        <v>900000</v>
      </c>
      <c r="E12" s="20" t="s">
        <v>15</v>
      </c>
      <c r="F12" s="21">
        <f>SUM(F13:F17)</f>
        <v>108.2</v>
      </c>
      <c r="G12" s="21">
        <f t="shared" ref="G12:K12" si="0">SUM(G13:G17)</f>
        <v>104.2</v>
      </c>
      <c r="H12" s="21">
        <f t="shared" si="0"/>
        <v>110.49</v>
      </c>
      <c r="I12" s="21">
        <f>SUM(I13:I17)</f>
        <v>93.92</v>
      </c>
      <c r="J12" s="21">
        <f t="shared" si="0"/>
        <v>111.06</v>
      </c>
      <c r="K12" s="21">
        <f t="shared" si="0"/>
        <v>108.2</v>
      </c>
      <c r="L12" s="21"/>
      <c r="M12" s="78"/>
      <c r="N12" s="78"/>
      <c r="O12" s="33"/>
      <c r="P12" s="33"/>
    </row>
    <row r="13" spans="1:16" ht="31.5" customHeight="1" x14ac:dyDescent="0.25">
      <c r="A13" s="8" t="s">
        <v>4</v>
      </c>
      <c r="B13" s="3"/>
      <c r="C13" s="68">
        <v>648000</v>
      </c>
      <c r="E13" s="3" t="s">
        <v>17</v>
      </c>
      <c r="F13" s="7">
        <f>$C$6*12*1.302/F8/F9</f>
        <v>71.260000000000005</v>
      </c>
      <c r="G13" s="7">
        <f t="shared" ref="G13:K13" si="1">$C$6*12*1.302/G8/G9</f>
        <v>71.260000000000005</v>
      </c>
      <c r="H13" s="7">
        <f t="shared" si="1"/>
        <v>71.260000000000005</v>
      </c>
      <c r="I13" s="7">
        <f t="shared" ref="I13" si="2">$C$6*12*1.302/I8/I9</f>
        <v>71.260000000000005</v>
      </c>
      <c r="J13" s="7">
        <f t="shared" si="1"/>
        <v>71.260000000000005</v>
      </c>
      <c r="K13" s="7">
        <f t="shared" si="1"/>
        <v>71.260000000000005</v>
      </c>
      <c r="L13" s="7"/>
      <c r="M13" s="78"/>
      <c r="N13" s="78"/>
      <c r="O13" s="33"/>
      <c r="P13" s="33"/>
    </row>
    <row r="14" spans="1:16" ht="30.75" customHeight="1" x14ac:dyDescent="0.25">
      <c r="A14" s="8" t="s">
        <v>5</v>
      </c>
      <c r="B14" s="3"/>
      <c r="C14" s="68">
        <v>1044000</v>
      </c>
      <c r="E14" s="3" t="s">
        <v>19</v>
      </c>
      <c r="F14" s="7">
        <f t="shared" ref="F14:K14" si="3">F13*$C$7</f>
        <v>17.82</v>
      </c>
      <c r="G14" s="7">
        <f t="shared" si="3"/>
        <v>17.82</v>
      </c>
      <c r="H14" s="7">
        <f t="shared" si="3"/>
        <v>17.82</v>
      </c>
      <c r="I14" s="7">
        <f t="shared" ref="I14" si="4">I13*$C$7</f>
        <v>17.82</v>
      </c>
      <c r="J14" s="7">
        <f t="shared" si="3"/>
        <v>17.82</v>
      </c>
      <c r="K14" s="7">
        <f t="shared" si="3"/>
        <v>17.82</v>
      </c>
      <c r="L14" s="7"/>
      <c r="M14" s="78"/>
      <c r="N14" s="78"/>
      <c r="O14" s="33"/>
      <c r="P14" s="33"/>
    </row>
    <row r="15" spans="1:16" ht="31.5" customHeight="1" x14ac:dyDescent="0.25">
      <c r="A15" s="8" t="s">
        <v>6</v>
      </c>
      <c r="B15" s="3"/>
      <c r="C15" s="68">
        <v>0</v>
      </c>
      <c r="E15" s="3" t="s">
        <v>20</v>
      </c>
      <c r="F15" s="34">
        <f>($C$8*14)/3/F8/F9+$C$9/F8/F9</f>
        <v>0.68</v>
      </c>
      <c r="G15" s="34">
        <f t="shared" ref="G15:K15" si="5">($C$8*14)/3/G8/G9+$C$9/G8/G9</f>
        <v>0.68</v>
      </c>
      <c r="H15" s="34">
        <f t="shared" si="5"/>
        <v>0.68</v>
      </c>
      <c r="I15" s="34">
        <f t="shared" ref="I15" si="6">($C$8*14)/3/I8/I9+$C$9/I8/I9</f>
        <v>0.68</v>
      </c>
      <c r="J15" s="34">
        <f t="shared" si="5"/>
        <v>0.68</v>
      </c>
      <c r="K15" s="34">
        <f t="shared" si="5"/>
        <v>0.68</v>
      </c>
      <c r="L15" s="34"/>
      <c r="M15" s="78"/>
      <c r="N15" s="78"/>
      <c r="O15" s="33"/>
      <c r="P15" s="33"/>
    </row>
    <row r="16" spans="1:16" ht="31.5" customHeight="1" x14ac:dyDescent="0.25">
      <c r="A16" s="8" t="s">
        <v>7</v>
      </c>
      <c r="B16" s="3"/>
      <c r="C16" s="68">
        <v>1080000</v>
      </c>
      <c r="E16" s="3" t="s">
        <v>21</v>
      </c>
      <c r="F16" s="7">
        <f t="shared" ref="F16:K16" si="7">((VLOOKUP(F7,$A$12:$C$17,3,FALSE))/7/$C$18/(AVERAGE(F10,F11)))+(($C$19*0.5)/5/$C$18)</f>
        <v>14.4</v>
      </c>
      <c r="G16" s="7">
        <f t="shared" si="7"/>
        <v>10.4</v>
      </c>
      <c r="H16" s="7">
        <f t="shared" si="7"/>
        <v>16.690000000000001</v>
      </c>
      <c r="I16" s="7">
        <f t="shared" ref="I16" si="8">((VLOOKUP(I7,$A$12:$C$17,3,FALSE))/7/$C$18/(AVERAGE(I10,I11)))+(($C$19*0.5)/5/$C$18)</f>
        <v>0.12</v>
      </c>
      <c r="J16" s="7">
        <f t="shared" si="7"/>
        <v>17.260000000000002</v>
      </c>
      <c r="K16" s="7">
        <f t="shared" si="7"/>
        <v>14.4</v>
      </c>
      <c r="L16" s="7"/>
      <c r="O16" s="33"/>
      <c r="P16" s="33"/>
    </row>
    <row r="17" spans="1:16" ht="31.5" x14ac:dyDescent="0.25">
      <c r="A17" s="30" t="s">
        <v>43</v>
      </c>
      <c r="C17" s="68">
        <v>900000</v>
      </c>
      <c r="E17" s="3" t="s">
        <v>22</v>
      </c>
      <c r="F17" s="7">
        <f t="shared" ref="F17:K17" si="9">$C$10</f>
        <v>4.04</v>
      </c>
      <c r="G17" s="7">
        <f t="shared" si="9"/>
        <v>4.04</v>
      </c>
      <c r="H17" s="7">
        <f t="shared" si="9"/>
        <v>4.04</v>
      </c>
      <c r="I17" s="7">
        <f t="shared" si="9"/>
        <v>4.04</v>
      </c>
      <c r="J17" s="7">
        <f t="shared" si="9"/>
        <v>4.04</v>
      </c>
      <c r="K17" s="7">
        <f t="shared" si="9"/>
        <v>4.04</v>
      </c>
      <c r="L17" s="7"/>
      <c r="O17" s="33"/>
      <c r="P17" s="33"/>
    </row>
    <row r="18" spans="1:16" ht="47.25" x14ac:dyDescent="0.25">
      <c r="A18" s="31" t="s">
        <v>23</v>
      </c>
      <c r="B18"/>
      <c r="C18" s="68">
        <v>600</v>
      </c>
      <c r="E18" s="49" t="s">
        <v>41</v>
      </c>
      <c r="F18" s="49">
        <f>F8/(F10+F11)*2*(F9/36)</f>
        <v>16</v>
      </c>
      <c r="G18" s="49">
        <f t="shared" ref="G18:K18" si="10">G8/(G10+G11)*2*(G9/36)</f>
        <v>16</v>
      </c>
      <c r="H18" s="49">
        <f t="shared" si="10"/>
        <v>16</v>
      </c>
      <c r="I18" s="49">
        <f t="shared" ref="I18" si="11">I8/(I10+I11)*2*(I9/36)</f>
        <v>16</v>
      </c>
      <c r="J18" s="49">
        <f t="shared" si="10"/>
        <v>16</v>
      </c>
      <c r="K18" s="49">
        <f t="shared" si="10"/>
        <v>16</v>
      </c>
      <c r="L18" s="49"/>
    </row>
    <row r="19" spans="1:16" x14ac:dyDescent="0.25">
      <c r="A19" s="31" t="s">
        <v>24</v>
      </c>
      <c r="B19"/>
      <c r="C19" s="67">
        <v>692</v>
      </c>
      <c r="H19" s="7"/>
      <c r="I19" s="7"/>
      <c r="J19" s="7"/>
      <c r="K19" s="7"/>
      <c r="L19" s="7"/>
    </row>
    <row r="20" spans="1:16" ht="21" customHeight="1" x14ac:dyDescent="0.35">
      <c r="E20" s="85" t="s">
        <v>50</v>
      </c>
      <c r="F20" s="85"/>
      <c r="G20" s="85"/>
      <c r="H20" s="85"/>
      <c r="I20" s="85"/>
      <c r="J20" s="85"/>
      <c r="K20" s="85"/>
      <c r="L20" s="58"/>
    </row>
    <row r="21" spans="1:16" ht="29.25" customHeight="1" x14ac:dyDescent="0.25">
      <c r="E21" s="83" t="s">
        <v>51</v>
      </c>
      <c r="F21" s="83"/>
      <c r="G21" s="86">
        <f>(($C$6*12*1.302*(1+C7)+($C$8*14)/3+$C$9)/AVERAGE(F9:K9)/(AVERAGE(F18:K18)/(AVERAGE(F9:K9)/36)*J22)+J21/7/$C$18/J22+C10)/AVERAGE(F12:K12)</f>
        <v>12.74</v>
      </c>
      <c r="H21" s="87" t="s">
        <v>52</v>
      </c>
      <c r="I21" s="87"/>
      <c r="J21" s="71">
        <v>1</v>
      </c>
      <c r="K21" s="33"/>
    </row>
    <row r="22" spans="1:16" ht="29.25" customHeight="1" x14ac:dyDescent="0.25">
      <c r="E22" s="83"/>
      <c r="F22" s="83"/>
      <c r="G22" s="86"/>
      <c r="H22" s="87" t="s">
        <v>53</v>
      </c>
      <c r="I22" s="87"/>
      <c r="J22" s="71">
        <v>1</v>
      </c>
      <c r="K22" s="2"/>
      <c r="L22" s="2"/>
    </row>
    <row r="23" spans="1:16" ht="29.25" customHeight="1" x14ac:dyDescent="0.25">
      <c r="E23" s="83" t="s">
        <v>54</v>
      </c>
      <c r="F23" s="83"/>
      <c r="G23" s="55">
        <f>(SUM(F13:K15)+SUM(F17:K17)/SUM(F11:K11)*6)/SUM(F12:K12)</f>
        <v>0.85</v>
      </c>
      <c r="J23" s="33"/>
      <c r="K23" s="33"/>
    </row>
    <row r="24" spans="1:16" ht="29.25" customHeight="1" x14ac:dyDescent="0.25">
      <c r="E24" s="83" t="s">
        <v>55</v>
      </c>
      <c r="F24" s="83"/>
      <c r="G24" s="55">
        <f>((SUM(F13:K15)+SUM(F17:K17)/SUM(F11:K11)*6)*J24+SUM(F12:K12)*(1-J24))/SUM(F12:K12)</f>
        <v>1</v>
      </c>
      <c r="H24" s="84" t="s">
        <v>56</v>
      </c>
      <c r="I24" s="84"/>
      <c r="J24" s="72">
        <v>0.01</v>
      </c>
      <c r="K24" s="33"/>
    </row>
    <row r="25" spans="1:16" x14ac:dyDescent="0.25">
      <c r="H25" s="31"/>
      <c r="I25" s="31"/>
    </row>
    <row r="26" spans="1:16" x14ac:dyDescent="0.25">
      <c r="H26" s="31"/>
      <c r="I26" s="31"/>
    </row>
    <row r="27" spans="1:16" x14ac:dyDescent="0.25">
      <c r="H27" s="31"/>
      <c r="I27" s="31"/>
    </row>
    <row r="28" spans="1:16" x14ac:dyDescent="0.25">
      <c r="H28" s="31"/>
      <c r="I28" s="31"/>
    </row>
    <row r="29" spans="1:16" x14ac:dyDescent="0.25">
      <c r="H29" s="31"/>
      <c r="I29" s="31"/>
    </row>
    <row r="30" spans="1:16" x14ac:dyDescent="0.25">
      <c r="H30" s="31"/>
      <c r="I30" s="31"/>
    </row>
    <row r="31" spans="1:16" x14ac:dyDescent="0.25">
      <c r="H31" s="31"/>
      <c r="I31" s="31"/>
    </row>
    <row r="32" spans="1:16" x14ac:dyDescent="0.25">
      <c r="H32" s="31"/>
      <c r="I32" s="31"/>
    </row>
    <row r="33" spans="8:9" x14ac:dyDescent="0.25">
      <c r="H33" s="31"/>
      <c r="I33" s="31"/>
    </row>
    <row r="34" spans="8:9" x14ac:dyDescent="0.25">
      <c r="H34" s="31"/>
      <c r="I34" s="31"/>
    </row>
    <row r="35" spans="8:9" x14ac:dyDescent="0.25">
      <c r="H35" s="31"/>
      <c r="I35" s="31"/>
    </row>
    <row r="36" spans="8:9" x14ac:dyDescent="0.25">
      <c r="H36" s="31"/>
      <c r="I36" s="31"/>
    </row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31"/>
      <c r="I39" s="31"/>
    </row>
    <row r="40" spans="8:9" x14ac:dyDescent="0.25">
      <c r="H40" s="31"/>
      <c r="I40" s="31"/>
    </row>
    <row r="41" spans="8:9" x14ac:dyDescent="0.25">
      <c r="H41" s="31"/>
      <c r="I41" s="31"/>
    </row>
    <row r="42" spans="8:9" x14ac:dyDescent="0.25">
      <c r="H42" s="31"/>
      <c r="I42" s="31"/>
    </row>
    <row r="43" spans="8:9" x14ac:dyDescent="0.25">
      <c r="H43" s="31"/>
      <c r="I43" s="31"/>
    </row>
    <row r="44" spans="8:9" x14ac:dyDescent="0.25">
      <c r="H44" s="31"/>
      <c r="I44" s="31"/>
    </row>
    <row r="45" spans="8:9" x14ac:dyDescent="0.25">
      <c r="H45" s="31"/>
      <c r="I45" s="31"/>
    </row>
    <row r="46" spans="8:9" x14ac:dyDescent="0.25">
      <c r="H46" s="31"/>
      <c r="I46" s="31"/>
    </row>
    <row r="47" spans="8:9" x14ac:dyDescent="0.25">
      <c r="H47" s="31"/>
      <c r="I47" s="31"/>
    </row>
    <row r="48" spans="8:9" x14ac:dyDescent="0.25">
      <c r="H48" s="31"/>
      <c r="I48" s="31"/>
    </row>
    <row r="49" spans="8:9" x14ac:dyDescent="0.25">
      <c r="H49" s="31"/>
      <c r="I49" s="31"/>
    </row>
    <row r="50" spans="8:9" x14ac:dyDescent="0.25">
      <c r="H50" s="31"/>
      <c r="I50" s="31"/>
    </row>
    <row r="51" spans="8:9" x14ac:dyDescent="0.25">
      <c r="H51" s="31"/>
      <c r="I51" s="31"/>
    </row>
    <row r="52" spans="8:9" x14ac:dyDescent="0.25">
      <c r="H52" s="31"/>
      <c r="I52" s="31"/>
    </row>
    <row r="53" spans="8:9" x14ac:dyDescent="0.25">
      <c r="H53" s="31"/>
      <c r="I53" s="31"/>
    </row>
    <row r="54" spans="8:9" x14ac:dyDescent="0.25">
      <c r="H54" s="31"/>
      <c r="I54" s="31"/>
    </row>
    <row r="55" spans="8:9" x14ac:dyDescent="0.25">
      <c r="H55" s="31"/>
      <c r="I55" s="31"/>
    </row>
    <row r="56" spans="8:9" x14ac:dyDescent="0.25">
      <c r="H56" s="31"/>
      <c r="I56" s="31"/>
    </row>
    <row r="57" spans="8:9" x14ac:dyDescent="0.25">
      <c r="H57" s="31"/>
      <c r="I57" s="31"/>
    </row>
    <row r="58" spans="8:9" x14ac:dyDescent="0.25">
      <c r="H58" s="31"/>
      <c r="I58" s="31"/>
    </row>
  </sheetData>
  <mergeCells count="22">
    <mergeCell ref="I1:J1"/>
    <mergeCell ref="K1:L1"/>
    <mergeCell ref="P2:P3"/>
    <mergeCell ref="H4:I4"/>
    <mergeCell ref="B4:D4"/>
    <mergeCell ref="C2:D2"/>
    <mergeCell ref="C3:D3"/>
    <mergeCell ref="F4:G4"/>
    <mergeCell ref="A6:B6"/>
    <mergeCell ref="A2:B2"/>
    <mergeCell ref="A3:B3"/>
    <mergeCell ref="F6:K6"/>
    <mergeCell ref="B5:D5"/>
    <mergeCell ref="J4:L4"/>
    <mergeCell ref="E23:F23"/>
    <mergeCell ref="E24:F24"/>
    <mergeCell ref="H24:I24"/>
    <mergeCell ref="E20:K20"/>
    <mergeCell ref="E21:F22"/>
    <mergeCell ref="G21:G22"/>
    <mergeCell ref="H21:I21"/>
    <mergeCell ref="H22:I22"/>
  </mergeCells>
  <pageMargins left="0.19" right="0.19" top="0.23" bottom="0.32" header="0.25" footer="0.31496062992125984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C1" zoomScale="90" zoomScaleNormal="90" workbookViewId="0">
      <selection activeCell="E3" sqref="E3"/>
    </sheetView>
  </sheetViews>
  <sheetFormatPr defaultColWidth="11" defaultRowHeight="15.75" x14ac:dyDescent="0.25"/>
  <cols>
    <col min="1" max="1" width="23.875" style="17" customWidth="1"/>
    <col min="2" max="2" width="34.5" style="17" customWidth="1"/>
    <col min="3" max="3" width="24.125" style="17" customWidth="1"/>
    <col min="4" max="4" width="11.5" style="17" customWidth="1"/>
    <col min="5" max="5" width="15" style="17" customWidth="1"/>
    <col min="6" max="6" width="12.125" style="18" customWidth="1"/>
    <col min="7" max="7" width="11.5" style="18" customWidth="1"/>
    <col min="8" max="8" width="12.5" style="19" customWidth="1"/>
    <col min="9" max="9" width="10.625" style="16" customWidth="1"/>
    <col min="10" max="10" width="11.125" style="16" customWidth="1"/>
    <col min="11" max="11" width="15.625" customWidth="1"/>
    <col min="12" max="12" width="13.875" style="16" customWidth="1"/>
    <col min="13" max="13" width="16.125" style="16" customWidth="1"/>
    <col min="14" max="14" width="19.125" style="42" customWidth="1"/>
    <col min="15" max="15" width="16.25" customWidth="1"/>
    <col min="16" max="16" width="1.875" style="38" hidden="1" customWidth="1"/>
  </cols>
  <sheetData>
    <row r="1" spans="1:16" s="9" customFormat="1" ht="83.25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46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47</v>
      </c>
      <c r="K1" s="43" t="s">
        <v>48</v>
      </c>
      <c r="L1" s="25" t="s">
        <v>36</v>
      </c>
      <c r="M1" s="25" t="s">
        <v>44</v>
      </c>
      <c r="N1" s="39" t="s">
        <v>49</v>
      </c>
      <c r="P1" s="37"/>
    </row>
    <row r="2" spans="1:16" x14ac:dyDescent="0.25">
      <c r="A2" s="10" t="s">
        <v>69</v>
      </c>
      <c r="B2" s="10" t="s">
        <v>70</v>
      </c>
      <c r="C2" s="10" t="s">
        <v>5</v>
      </c>
      <c r="D2" s="27">
        <v>36</v>
      </c>
      <c r="E2" s="27">
        <v>36</v>
      </c>
      <c r="F2" s="28">
        <v>1</v>
      </c>
      <c r="G2" s="28">
        <v>15</v>
      </c>
      <c r="H2" s="82">
        <v>110.49</v>
      </c>
      <c r="I2" s="11">
        <f>HLOOKUP($C2,'Параметры ПФ'!$F$7:$K$12,6,FALSE)</f>
        <v>110.49</v>
      </c>
      <c r="J2" s="11">
        <f>IF(H2=0,I2*F2*E2,IF(I2&gt;H2,H2*F2*E2,I2*F2*E2))</f>
        <v>3977.64</v>
      </c>
      <c r="K2" s="12">
        <f>IF(J2&lt;'Параметры ПФ'!J$3+0.01,'Стандартные программы'!J2,ROUNDDOWN('Параметры ПФ'!J$3/IF(H2=0,I2,IF(I2&gt;H2,H2,I2)),0)*IF(H2=0,I2,IF(I2&gt;H2,H2,I2)))</f>
        <v>3977.64</v>
      </c>
      <c r="L2" s="11">
        <f t="shared" ref="L2:L11" si="0">K2*G2</f>
        <v>59664.6</v>
      </c>
      <c r="M2" s="50">
        <f>IF(J2&lt;'Параметры ПФ'!J$3+0.01,E2*F2*G2,ROUNDDOWN('Параметры ПФ'!J$3/IF(H2=0,I2,IF(I2&gt;H2,H2,I2)),0)*G2)</f>
        <v>540</v>
      </c>
      <c r="N2" s="40">
        <f>IF(H2=0,I2*F2*E2,IF(I2&gt;H2,H2*F2*E2,I2*F2*E2))-K2</f>
        <v>0</v>
      </c>
      <c r="P2" s="38">
        <f>IF(N2=0,0,IF(N2&gt;'[1]Расчет нормативных затрат'!J$2/2,0,IF(N2&lt;'[1]Расчет нормативных затрат'!J$2/3,2,1)))</f>
        <v>0</v>
      </c>
    </row>
    <row r="3" spans="1:16" x14ac:dyDescent="0.25">
      <c r="A3" s="10" t="s">
        <v>69</v>
      </c>
      <c r="B3" s="10" t="s">
        <v>71</v>
      </c>
      <c r="C3" s="10" t="s">
        <v>5</v>
      </c>
      <c r="D3" s="27">
        <v>36</v>
      </c>
      <c r="E3" s="27">
        <v>36</v>
      </c>
      <c r="F3" s="28">
        <v>2</v>
      </c>
      <c r="G3" s="28">
        <v>15</v>
      </c>
      <c r="H3" s="82">
        <v>110.49</v>
      </c>
      <c r="I3" s="11">
        <f>HLOOKUP($C3,'Параметры ПФ'!$F$7:$K$12,6,FALSE)</f>
        <v>110.49</v>
      </c>
      <c r="J3" s="11">
        <f t="shared" ref="J3:J11" si="1">IF(H3=0,I3*F3*E3,IF(I3&gt;H3,H3*F3*E3,I3*F3*E3))</f>
        <v>7955.28</v>
      </c>
      <c r="K3" s="12">
        <f>IF(J3&lt;'Параметры ПФ'!J$3+0.01,'Стандартные программы'!J3,ROUNDDOWN('Параметры ПФ'!J$3/IF(H3=0,I3,IF(I3&gt;H3,H3,I3)),0)*IF(H3=0,I3,IF(I3&gt;H3,H3,I3)))</f>
        <v>7955.28</v>
      </c>
      <c r="L3" s="11">
        <f t="shared" si="0"/>
        <v>119329.2</v>
      </c>
      <c r="M3" s="50">
        <f>IF(J3&lt;'Параметры ПФ'!J$3+0.01,E3*F3*G3,ROUNDDOWN('Параметры ПФ'!J$3/IF(H3=0,I3,IF(I3&gt;H3,H3,I3)),0)*G3)</f>
        <v>1080</v>
      </c>
      <c r="N3" s="40">
        <f t="shared" ref="N3:N11" si="2">IF(H3=0,I3*F3*E3,IF(I3&gt;H3,H3*F3*E3,I3*F3*E3))-K3</f>
        <v>0</v>
      </c>
      <c r="P3" s="38">
        <f>IF(N3=0,0,IF(N3&gt;'[1]Расчет нормативных затрат'!J$2/2,0,IF(N3&lt;'[1]Расчет нормативных затрат'!J$2/3,2,1)))</f>
        <v>0</v>
      </c>
    </row>
    <row r="4" spans="1:16" x14ac:dyDescent="0.25">
      <c r="A4" s="10" t="s">
        <v>69</v>
      </c>
      <c r="B4" s="10" t="s">
        <v>72</v>
      </c>
      <c r="C4" s="10" t="s">
        <v>5</v>
      </c>
      <c r="D4" s="27">
        <v>36</v>
      </c>
      <c r="E4" s="27">
        <v>36</v>
      </c>
      <c r="F4" s="28">
        <v>2</v>
      </c>
      <c r="G4" s="28">
        <v>13</v>
      </c>
      <c r="H4" s="82">
        <v>110.49</v>
      </c>
      <c r="I4" s="11">
        <f>HLOOKUP($C4,'Параметры ПФ'!$F$7:$K$12,6,FALSE)</f>
        <v>110.49</v>
      </c>
      <c r="J4" s="11">
        <f t="shared" si="1"/>
        <v>7955.28</v>
      </c>
      <c r="K4" s="12">
        <f>IF(J4&lt;'Параметры ПФ'!J$3+0.01,'Стандартные программы'!J4,ROUNDDOWN('Параметры ПФ'!J$3/IF(H4=0,I4,IF(I4&gt;H4,H4,I4)),0)*IF(H4=0,I4,IF(I4&gt;H4,H4,I4)))</f>
        <v>7955.28</v>
      </c>
      <c r="L4" s="11">
        <f t="shared" si="0"/>
        <v>103418.64</v>
      </c>
      <c r="M4" s="50">
        <f>IF(J4&lt;'Параметры ПФ'!J$3+0.01,E4*F4*G4,ROUNDDOWN('Параметры ПФ'!J$3/IF(H4=0,I4,IF(I4&gt;H4,H4,I4)),0)*G4)</f>
        <v>936</v>
      </c>
      <c r="N4" s="40">
        <f t="shared" si="2"/>
        <v>0</v>
      </c>
      <c r="P4" s="38">
        <f>IF(N4=0,0,IF(N4&gt;'[1]Расчет нормативных затрат'!J$2/2,0,IF(N4&lt;'[1]Расчет нормативных затрат'!J$2/3,2,1)))</f>
        <v>0</v>
      </c>
    </row>
    <row r="5" spans="1:16" x14ac:dyDescent="0.25">
      <c r="A5" s="10" t="s">
        <v>69</v>
      </c>
      <c r="B5" s="10" t="s">
        <v>73</v>
      </c>
      <c r="C5" s="10" t="s">
        <v>4</v>
      </c>
      <c r="D5" s="27">
        <v>36</v>
      </c>
      <c r="E5" s="27">
        <v>36</v>
      </c>
      <c r="F5" s="28">
        <v>2</v>
      </c>
      <c r="G5" s="28">
        <v>13</v>
      </c>
      <c r="H5" s="82">
        <v>110.49</v>
      </c>
      <c r="I5" s="11">
        <f>HLOOKUP($C5,'Параметры ПФ'!$F$7:$K$12,6,FALSE)</f>
        <v>104.2</v>
      </c>
      <c r="J5" s="11">
        <f t="shared" si="1"/>
        <v>7502.4</v>
      </c>
      <c r="K5" s="12">
        <f>IF(J5&lt;'Параметры ПФ'!J$3+0.01,'Стандартные программы'!J5,ROUNDDOWN('Параметры ПФ'!J$3/IF(H5=0,I5,IF(I5&gt;H5,H5,I5)),0)*IF(H5=0,I5,IF(I5&gt;H5,H5,I5)))</f>
        <v>7502.4</v>
      </c>
      <c r="L5" s="11">
        <f t="shared" si="0"/>
        <v>97531.199999999997</v>
      </c>
      <c r="M5" s="50">
        <f>IF(J5&lt;'Параметры ПФ'!J$3+0.01,E5*F5*G5,ROUNDDOWN('Параметры ПФ'!J$3/IF(H5=0,I5,IF(I5&gt;H5,H5,I5)),0)*G5)</f>
        <v>936</v>
      </c>
      <c r="N5" s="40">
        <f t="shared" si="2"/>
        <v>0</v>
      </c>
      <c r="P5" s="38">
        <f>IF(N5=0,0,IF(N5&gt;'[1]Расчет нормативных затрат'!J$2/2,0,IF(N5&lt;'[1]Расчет нормативных затрат'!J$2/3,2,1)))</f>
        <v>0</v>
      </c>
    </row>
    <row r="6" spans="1:16" x14ac:dyDescent="0.25">
      <c r="A6" s="10" t="s">
        <v>69</v>
      </c>
      <c r="B6" s="10" t="s">
        <v>74</v>
      </c>
      <c r="C6" s="10" t="s">
        <v>5</v>
      </c>
      <c r="D6" s="27">
        <v>36</v>
      </c>
      <c r="E6" s="27">
        <v>36</v>
      </c>
      <c r="F6" s="28">
        <v>2</v>
      </c>
      <c r="G6" s="28">
        <v>15</v>
      </c>
      <c r="H6" s="82">
        <v>110.49</v>
      </c>
      <c r="I6" s="11">
        <f>HLOOKUP($C6,'Параметры ПФ'!$F$7:$K$12,6,FALSE)</f>
        <v>110.49</v>
      </c>
      <c r="J6" s="11">
        <f t="shared" si="1"/>
        <v>7955.28</v>
      </c>
      <c r="K6" s="12">
        <f>IF(J6&lt;'Параметры ПФ'!J$3+0.01,'Стандартные программы'!J6,ROUNDDOWN('Параметры ПФ'!J$3/IF(H6=0,I6,IF(I6&gt;H6,H6,I6)),0)*IF(H6=0,I6,IF(I6&gt;H6,H6,I6)))</f>
        <v>7955.28</v>
      </c>
      <c r="L6" s="11">
        <f t="shared" si="0"/>
        <v>119329.2</v>
      </c>
      <c r="M6" s="50">
        <f>IF(J6&lt;'Параметры ПФ'!J$3+0.01,E6*F6*G6,ROUNDDOWN('Параметры ПФ'!J$3/IF(H6=0,I6,IF(I6&gt;H6,H6,I6)),0)*G6)</f>
        <v>1080</v>
      </c>
      <c r="N6" s="40">
        <f t="shared" si="2"/>
        <v>0</v>
      </c>
      <c r="P6" s="38">
        <f>IF(N6=0,0,IF(N6&gt;'[1]Расчет нормативных затрат'!J$2/2,0,IF(N6&lt;'[1]Расчет нормативных затрат'!J$2/3,2,1)))</f>
        <v>0</v>
      </c>
    </row>
    <row r="7" spans="1:16" x14ac:dyDescent="0.25">
      <c r="A7" s="10" t="s">
        <v>69</v>
      </c>
      <c r="B7" s="10" t="s">
        <v>75</v>
      </c>
      <c r="C7" s="10" t="s">
        <v>5</v>
      </c>
      <c r="D7" s="27">
        <v>36</v>
      </c>
      <c r="E7" s="27">
        <v>36</v>
      </c>
      <c r="F7" s="28">
        <v>2</v>
      </c>
      <c r="G7" s="28">
        <v>12</v>
      </c>
      <c r="H7" s="82">
        <v>110.49</v>
      </c>
      <c r="I7" s="11">
        <f>HLOOKUP($C7,'Параметры ПФ'!$F$7:$K$12,6,FALSE)</f>
        <v>110.49</v>
      </c>
      <c r="J7" s="11">
        <f t="shared" si="1"/>
        <v>7955.28</v>
      </c>
      <c r="K7" s="12">
        <f>IF(J7&lt;'Параметры ПФ'!J$3+0.01,'Стандартные программы'!J7,ROUNDDOWN('Параметры ПФ'!J$3/IF(H7=0,I7,IF(I7&gt;H7,H7,I7)),0)*IF(H7=0,I7,IF(I7&gt;H7,H7,I7)))</f>
        <v>7955.28</v>
      </c>
      <c r="L7" s="11">
        <f t="shared" si="0"/>
        <v>95463.360000000001</v>
      </c>
      <c r="M7" s="50">
        <f>IF(J7&lt;'Параметры ПФ'!J$3+0.01,E7*F7*G7,ROUNDDOWN('Параметры ПФ'!J$3/IF(H7=0,I7,IF(I7&gt;H7,H7,I7)),0)*G7)</f>
        <v>864</v>
      </c>
      <c r="N7" s="40">
        <f t="shared" si="2"/>
        <v>0</v>
      </c>
      <c r="P7" s="38">
        <f>IF(N7=0,0,IF(N7&gt;'[1]Расчет нормативных затрат'!J$2/2,0,IF(N7&lt;'[1]Расчет нормативных затрат'!J$2/3,2,1)))</f>
        <v>0</v>
      </c>
    </row>
    <row r="8" spans="1:16" x14ac:dyDescent="0.25">
      <c r="A8" s="10" t="s">
        <v>69</v>
      </c>
      <c r="B8" s="10" t="s">
        <v>76</v>
      </c>
      <c r="C8" s="10" t="s">
        <v>3</v>
      </c>
      <c r="D8" s="27">
        <v>36</v>
      </c>
      <c r="E8" s="27">
        <v>36</v>
      </c>
      <c r="F8" s="28">
        <v>2</v>
      </c>
      <c r="G8" s="28">
        <v>15</v>
      </c>
      <c r="H8" s="82">
        <v>110.49</v>
      </c>
      <c r="I8" s="11">
        <f>HLOOKUP($C8,'Параметры ПФ'!$F$7:$K$12,6,FALSE)</f>
        <v>108.2</v>
      </c>
      <c r="J8" s="11">
        <f t="shared" si="1"/>
        <v>7790.4</v>
      </c>
      <c r="K8" s="12">
        <f>IF(J8&lt;'Параметры ПФ'!J$3+0.01,'Стандартные программы'!J8,ROUNDDOWN('Параметры ПФ'!J$3/IF(H8=0,I8,IF(I8&gt;H8,H8,I8)),0)*IF(H8=0,I8,IF(I8&gt;H8,H8,I8)))</f>
        <v>7790.4</v>
      </c>
      <c r="L8" s="11">
        <f t="shared" si="0"/>
        <v>116856</v>
      </c>
      <c r="M8" s="50">
        <f>IF(J8&lt;'Параметры ПФ'!J$3+0.01,E8*F8*G8,ROUNDDOWN('Параметры ПФ'!J$3/IF(H8=0,I8,IF(I8&gt;H8,H8,I8)),0)*G8)</f>
        <v>1080</v>
      </c>
      <c r="N8" s="40">
        <f t="shared" si="2"/>
        <v>0</v>
      </c>
      <c r="P8" s="38">
        <f>IF(N8=0,0,IF(N8&gt;'[1]Расчет нормативных затрат'!J$2/2,0,IF(N8&lt;'[1]Расчет нормативных затрат'!J$2/3,2,1)))</f>
        <v>0</v>
      </c>
    </row>
    <row r="9" spans="1:16" x14ac:dyDescent="0.25">
      <c r="A9" s="10" t="s">
        <v>69</v>
      </c>
      <c r="B9" s="10" t="s">
        <v>77</v>
      </c>
      <c r="C9" s="10" t="s">
        <v>7</v>
      </c>
      <c r="D9" s="27">
        <v>36</v>
      </c>
      <c r="E9" s="27">
        <v>36</v>
      </c>
      <c r="F9" s="28">
        <v>2</v>
      </c>
      <c r="G9" s="28">
        <v>20</v>
      </c>
      <c r="H9" s="82">
        <v>110.49</v>
      </c>
      <c r="I9" s="11">
        <f>HLOOKUP($C9,'Параметры ПФ'!$F$7:$K$12,6,FALSE)</f>
        <v>111.06</v>
      </c>
      <c r="J9" s="11">
        <f t="shared" si="1"/>
        <v>7955.28</v>
      </c>
      <c r="K9" s="12">
        <f>IF(J9&lt;'Параметры ПФ'!J$3+0.01,'Стандартные программы'!J9,ROUNDDOWN('Параметры ПФ'!J$3/IF(H9=0,I9,IF(I9&gt;H9,H9,I9)),0)*IF(H9=0,I9,IF(I9&gt;H9,H9,I9)))</f>
        <v>7955.28</v>
      </c>
      <c r="L9" s="11">
        <f t="shared" si="0"/>
        <v>159105.60000000001</v>
      </c>
      <c r="M9" s="50">
        <f>IF(J9&lt;'Параметры ПФ'!J$3+0.01,E9*F9*G9,ROUNDDOWN('Параметры ПФ'!J$3/IF(H9=0,I9,IF(I9&gt;H9,H9,I9)),0)*G9)</f>
        <v>1440</v>
      </c>
      <c r="N9" s="40">
        <f t="shared" si="2"/>
        <v>0</v>
      </c>
      <c r="P9" s="38">
        <f>IF(N9=0,0,IF(N9&gt;'[1]Расчет нормативных затрат'!J$2/2,0,IF(N9&lt;'[1]Расчет нормативных затрат'!J$2/3,2,1)))</f>
        <v>0</v>
      </c>
    </row>
    <row r="10" spans="1:16" x14ac:dyDescent="0.25">
      <c r="A10" s="10" t="s">
        <v>69</v>
      </c>
      <c r="B10" s="10" t="s">
        <v>78</v>
      </c>
      <c r="C10" s="10" t="s">
        <v>7</v>
      </c>
      <c r="D10" s="27">
        <v>36</v>
      </c>
      <c r="E10" s="27">
        <v>36</v>
      </c>
      <c r="F10" s="28">
        <v>2</v>
      </c>
      <c r="G10" s="28">
        <v>15</v>
      </c>
      <c r="H10" s="82">
        <v>110.49</v>
      </c>
      <c r="I10" s="11">
        <f>HLOOKUP($C10,'Параметры ПФ'!$F$7:$K$12,6,FALSE)</f>
        <v>111.06</v>
      </c>
      <c r="J10" s="11">
        <f t="shared" si="1"/>
        <v>7955.28</v>
      </c>
      <c r="K10" s="12">
        <f>IF(J10&lt;'Параметры ПФ'!J$3+0.01,'Стандартные программы'!J10,ROUNDDOWN('Параметры ПФ'!J$3/IF(H10=0,I10,IF(I10&gt;H10,H10,I10)),0)*IF(H10=0,I10,IF(I10&gt;H10,H10,I10)))</f>
        <v>7955.28</v>
      </c>
      <c r="L10" s="11">
        <f t="shared" si="0"/>
        <v>119329.2</v>
      </c>
      <c r="M10" s="50">
        <f>IF(J10&lt;'Параметры ПФ'!J$3+0.01,E10*F10*G10,ROUNDDOWN('Параметры ПФ'!J$3/IF(H10=0,I10,IF(I10&gt;H10,H10,I10)),0)*G10)</f>
        <v>1080</v>
      </c>
      <c r="N10" s="40">
        <f t="shared" si="2"/>
        <v>0</v>
      </c>
      <c r="P10" s="38">
        <f>IF(N10=0,0,IF(N10&gt;'[1]Расчет нормативных затрат'!J$2/2,0,IF(N10&lt;'[1]Расчет нормативных затрат'!J$2/3,2,1)))</f>
        <v>0</v>
      </c>
    </row>
    <row r="11" spans="1:16" x14ac:dyDescent="0.25">
      <c r="A11" s="10" t="s">
        <v>69</v>
      </c>
      <c r="B11" s="10" t="s">
        <v>79</v>
      </c>
      <c r="C11" s="10" t="s">
        <v>7</v>
      </c>
      <c r="D11" s="27">
        <v>36</v>
      </c>
      <c r="E11" s="27">
        <v>36</v>
      </c>
      <c r="F11" s="28">
        <v>2</v>
      </c>
      <c r="G11" s="28">
        <v>11</v>
      </c>
      <c r="H11" s="82">
        <v>110.49</v>
      </c>
      <c r="I11" s="11">
        <f>HLOOKUP($C11,'Параметры ПФ'!$F$7:$K$12,6,FALSE)</f>
        <v>111.06</v>
      </c>
      <c r="J11" s="11">
        <f t="shared" si="1"/>
        <v>7955.28</v>
      </c>
      <c r="K11" s="12">
        <f>IF(J11&lt;'Параметры ПФ'!J$3+0.01,'Стандартные программы'!J11,ROUNDDOWN('Параметры ПФ'!J$3/IF(H11=0,I11,IF(I11&gt;H11,H11,I11)),0)*IF(H11=0,I11,IF(I11&gt;H11,H11,I11)))</f>
        <v>7955.28</v>
      </c>
      <c r="L11" s="11">
        <f t="shared" si="0"/>
        <v>87508.08</v>
      </c>
      <c r="M11" s="50">
        <f>IF(J11&lt;'Параметры ПФ'!J$3+0.01,E11*F11*G11,ROUNDDOWN('Параметры ПФ'!J$3/IF(H11=0,I11,IF(I11&gt;H11,H11,I11)),0)*G11)</f>
        <v>792</v>
      </c>
      <c r="N11" s="40">
        <f t="shared" si="2"/>
        <v>0</v>
      </c>
      <c r="P11" s="38">
        <f>IF(N11=0,0,IF(N11&gt;'[1]Расчет нормативных затрат'!J$2/2,0,IF(N11&lt;'[1]Расчет нормативных затрат'!J$2/3,2,1)))</f>
        <v>0</v>
      </c>
    </row>
    <row r="12" spans="1:16" x14ac:dyDescent="0.25">
      <c r="A12" s="10" t="s">
        <v>69</v>
      </c>
      <c r="B12" s="10" t="s">
        <v>80</v>
      </c>
      <c r="C12" s="10" t="s">
        <v>43</v>
      </c>
      <c r="D12" s="27">
        <v>36</v>
      </c>
      <c r="E12" s="27">
        <v>36</v>
      </c>
      <c r="F12" s="28">
        <v>2</v>
      </c>
      <c r="G12" s="28">
        <v>10</v>
      </c>
      <c r="H12" s="82">
        <v>110.49</v>
      </c>
      <c r="I12" s="11">
        <f>HLOOKUP($C12,'Параметры ПФ'!$F$7:$K$12,6,FALSE)</f>
        <v>108.2</v>
      </c>
      <c r="J12" s="11">
        <f t="shared" ref="J12:J23" si="3">IF(H12=0,I12*F12*E12,IF(I12&gt;H12,H12*F12*E12,I12*F12*E12))</f>
        <v>7790.4</v>
      </c>
      <c r="K12" s="12">
        <f>IF(J12&lt;'Параметры ПФ'!J$3+0.01,'Стандартные программы'!J12,ROUNDDOWN('Параметры ПФ'!J$3/IF(H12=0,I12,IF(I12&gt;H12,H12,I12)),0)*IF(H12=0,I12,IF(I12&gt;H12,H12,I12)))</f>
        <v>7790.4</v>
      </c>
      <c r="L12" s="11">
        <f t="shared" ref="L12:L23" si="4">K12*G12</f>
        <v>77904</v>
      </c>
      <c r="M12" s="50">
        <f>IF(J12&lt;'Параметры ПФ'!J$3+0.01,E12*F12*G12,ROUNDDOWN('Параметры ПФ'!J$3/IF(H12=0,I12,IF(I12&gt;H12,H12,I12)),0)*G12)</f>
        <v>720</v>
      </c>
      <c r="N12" s="40">
        <f t="shared" ref="N12:N23" si="5">IF(H12=0,I12*F12*E12,IF(I12&gt;H12,H12*F12*E12,I12*F12*E12))-K12</f>
        <v>0</v>
      </c>
      <c r="P12" s="38">
        <f>IF(N12=0,0,IF(N12&gt;'[1]Расчет нормативных затрат'!J$2/2,0,IF(N12&lt;'[1]Расчет нормативных затрат'!J$2/3,2,1)))</f>
        <v>0</v>
      </c>
    </row>
    <row r="13" spans="1:16" x14ac:dyDescent="0.25">
      <c r="A13" s="10" t="s">
        <v>69</v>
      </c>
      <c r="B13" s="10" t="s">
        <v>77</v>
      </c>
      <c r="C13" s="10" t="s">
        <v>7</v>
      </c>
      <c r="D13" s="27">
        <v>36</v>
      </c>
      <c r="E13" s="27">
        <v>36</v>
      </c>
      <c r="F13" s="28">
        <v>2</v>
      </c>
      <c r="G13" s="28">
        <v>10</v>
      </c>
      <c r="H13" s="82">
        <v>110.49</v>
      </c>
      <c r="I13" s="11">
        <f>HLOOKUP($C13,'Параметры ПФ'!$F$7:$K$12,6,FALSE)</f>
        <v>111.06</v>
      </c>
      <c r="J13" s="11">
        <f t="shared" si="3"/>
        <v>7955.28</v>
      </c>
      <c r="K13" s="12">
        <f>IF(J13&lt;'Параметры ПФ'!J$3+0.01,'Стандартные программы'!J13,ROUNDDOWN('Параметры ПФ'!J$3/IF(H13=0,I13,IF(I13&gt;H13,H13,I13)),0)*IF(H13=0,I13,IF(I13&gt;H13,H13,I13)))</f>
        <v>7955.28</v>
      </c>
      <c r="L13" s="11">
        <f t="shared" si="4"/>
        <v>79552.800000000003</v>
      </c>
      <c r="M13" s="50">
        <f>IF(J13&lt;'Параметры ПФ'!J$3+0.01,E13*F13*G13,ROUNDDOWN('Параметры ПФ'!J$3/IF(H13=0,I13,IF(I13&gt;H13,H13,I13)),0)*G13)</f>
        <v>720</v>
      </c>
      <c r="N13" s="40">
        <f t="shared" si="5"/>
        <v>0</v>
      </c>
      <c r="P13" s="38">
        <f>IF(N13=0,0,IF(N13&gt;'[1]Расчет нормативных затрат'!J$2/2,0,IF(N13&lt;'[1]Расчет нормативных затрат'!J$2/3,2,1)))</f>
        <v>0</v>
      </c>
    </row>
    <row r="14" spans="1:16" x14ac:dyDescent="0.25">
      <c r="A14" s="10" t="s">
        <v>69</v>
      </c>
      <c r="B14" s="10" t="s">
        <v>77</v>
      </c>
      <c r="C14" s="10" t="s">
        <v>7</v>
      </c>
      <c r="D14" s="27">
        <v>36</v>
      </c>
      <c r="E14" s="27">
        <v>36</v>
      </c>
      <c r="F14" s="28">
        <v>2</v>
      </c>
      <c r="G14" s="28">
        <v>10</v>
      </c>
      <c r="H14" s="82">
        <v>110.49</v>
      </c>
      <c r="I14" s="11">
        <f>HLOOKUP($C14,'Параметры ПФ'!$F$7:$K$12,6,FALSE)</f>
        <v>111.06</v>
      </c>
      <c r="J14" s="11">
        <f t="shared" si="3"/>
        <v>7955.28</v>
      </c>
      <c r="K14" s="12">
        <f>IF(J14&lt;'Параметры ПФ'!J$3+0.01,'Стандартные программы'!J14,ROUNDDOWN('Параметры ПФ'!J$3/IF(H14=0,I14,IF(I14&gt;H14,H14,I14)),0)*IF(H14=0,I14,IF(I14&gt;H14,H14,I14)))</f>
        <v>7955.28</v>
      </c>
      <c r="L14" s="11">
        <f t="shared" si="4"/>
        <v>79552.800000000003</v>
      </c>
      <c r="M14" s="50">
        <f>IF(J14&lt;'Параметры ПФ'!J$3+0.01,E14*F14*G14,ROUNDDOWN('Параметры ПФ'!J$3/IF(H14=0,I14,IF(I14&gt;H14,H14,I14)),0)*G14)</f>
        <v>720</v>
      </c>
      <c r="N14" s="40">
        <f t="shared" si="5"/>
        <v>0</v>
      </c>
      <c r="P14" s="38">
        <f>IF(N14=0,0,IF(N14&gt;'[1]Расчет нормативных затрат'!J$2/2,0,IF(N14&lt;'[1]Расчет нормативных затрат'!J$2/3,2,1)))</f>
        <v>0</v>
      </c>
    </row>
    <row r="15" spans="1:16" x14ac:dyDescent="0.25">
      <c r="A15" s="10" t="s">
        <v>69</v>
      </c>
      <c r="B15" s="10" t="s">
        <v>77</v>
      </c>
      <c r="C15" s="10" t="s">
        <v>7</v>
      </c>
      <c r="D15" s="27">
        <v>36</v>
      </c>
      <c r="E15" s="27">
        <v>36</v>
      </c>
      <c r="F15" s="28">
        <v>2</v>
      </c>
      <c r="G15" s="28">
        <v>10</v>
      </c>
      <c r="H15" s="82">
        <v>110.49</v>
      </c>
      <c r="I15" s="11">
        <f>HLOOKUP($C15,'Параметры ПФ'!$F$7:$K$12,6,FALSE)</f>
        <v>111.06</v>
      </c>
      <c r="J15" s="11">
        <f t="shared" si="3"/>
        <v>7955.28</v>
      </c>
      <c r="K15" s="12">
        <f>IF(J15&lt;'Параметры ПФ'!J$3+0.01,'Стандартные программы'!J15,ROUNDDOWN('Параметры ПФ'!J$3/IF(H15=0,I15,IF(I15&gt;H15,H15,I15)),0)*IF(H15=0,I15,IF(I15&gt;H15,H15,I15)))</f>
        <v>7955.28</v>
      </c>
      <c r="L15" s="11">
        <f t="shared" si="4"/>
        <v>79552.800000000003</v>
      </c>
      <c r="M15" s="50">
        <f>IF(J15&lt;'Параметры ПФ'!J$3+0.01,E15*F15*G15,ROUNDDOWN('Параметры ПФ'!J$3/IF(H15=0,I15,IF(I15&gt;H15,H15,I15)),0)*G15)</f>
        <v>720</v>
      </c>
      <c r="N15" s="40">
        <f t="shared" si="5"/>
        <v>0</v>
      </c>
      <c r="P15" s="38">
        <f>IF(N15=0,0,IF(N15&gt;'[1]Расчет нормативных затрат'!J$2/2,0,IF(N15&lt;'[1]Расчет нормативных затрат'!J$2/3,2,1)))</f>
        <v>0</v>
      </c>
    </row>
    <row r="16" spans="1:16" x14ac:dyDescent="0.25">
      <c r="A16" s="10" t="s">
        <v>69</v>
      </c>
      <c r="B16" s="10" t="s">
        <v>77</v>
      </c>
      <c r="C16" s="10" t="s">
        <v>7</v>
      </c>
      <c r="D16" s="27">
        <v>36</v>
      </c>
      <c r="E16" s="27">
        <v>36</v>
      </c>
      <c r="F16" s="28">
        <v>2</v>
      </c>
      <c r="G16" s="28">
        <v>10</v>
      </c>
      <c r="H16" s="82">
        <v>110.49</v>
      </c>
      <c r="I16" s="11">
        <f>HLOOKUP($C16,'Параметры ПФ'!$F$7:$K$12,6,FALSE)</f>
        <v>111.06</v>
      </c>
      <c r="J16" s="11">
        <f t="shared" si="3"/>
        <v>7955.28</v>
      </c>
      <c r="K16" s="12">
        <f>IF(J16&lt;'Параметры ПФ'!J$3+0.01,'Стандартные программы'!J16,ROUNDDOWN('Параметры ПФ'!J$3/IF(H16=0,I16,IF(I16&gt;H16,H16,I16)),0)*IF(H16=0,I16,IF(I16&gt;H16,H16,I16)))</f>
        <v>7955.28</v>
      </c>
      <c r="L16" s="11">
        <f t="shared" si="4"/>
        <v>79552.800000000003</v>
      </c>
      <c r="M16" s="50">
        <f>IF(J16&lt;'Параметры ПФ'!J$3+0.01,E16*F16*G16,ROUNDDOWN('Параметры ПФ'!J$3/IF(H16=0,I16,IF(I16&gt;H16,H16,I16)),0)*G16)</f>
        <v>720</v>
      </c>
      <c r="N16" s="40">
        <f t="shared" si="5"/>
        <v>0</v>
      </c>
      <c r="P16" s="38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10" t="s">
        <v>69</v>
      </c>
      <c r="B17" s="10" t="s">
        <v>77</v>
      </c>
      <c r="C17" s="10" t="s">
        <v>7</v>
      </c>
      <c r="D17" s="27">
        <v>36</v>
      </c>
      <c r="E17" s="27">
        <v>36</v>
      </c>
      <c r="F17" s="28">
        <v>2</v>
      </c>
      <c r="G17" s="28">
        <v>14</v>
      </c>
      <c r="H17" s="82">
        <v>110.49</v>
      </c>
      <c r="I17" s="11">
        <f>HLOOKUP($C17,'Параметры ПФ'!$F$7:$K$12,6,FALSE)</f>
        <v>111.06</v>
      </c>
      <c r="J17" s="11">
        <f t="shared" si="3"/>
        <v>7955.28</v>
      </c>
      <c r="K17" s="12">
        <f>IF(J17&lt;'Параметры ПФ'!J$3+0.01,'Стандартные программы'!J17,ROUNDDOWN('Параметры ПФ'!J$3/IF(H17=0,I17,IF(I17&gt;H17,H17,I17)),0)*IF(H17=0,I17,IF(I17&gt;H17,H17,I17)))</f>
        <v>7955.28</v>
      </c>
      <c r="L17" s="11">
        <f t="shared" si="4"/>
        <v>111373.92</v>
      </c>
      <c r="M17" s="50">
        <f>IF(J17&lt;'Параметры ПФ'!J$3+0.01,E17*F17*G17,ROUNDDOWN('Параметры ПФ'!J$3/IF(H17=0,I17,IF(I17&gt;H17,H17,I17)),0)*G17)</f>
        <v>1008</v>
      </c>
      <c r="N17" s="40">
        <f t="shared" si="5"/>
        <v>0</v>
      </c>
      <c r="P17" s="38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10" t="s">
        <v>69</v>
      </c>
      <c r="B18" s="10" t="s">
        <v>71</v>
      </c>
      <c r="C18" s="10" t="s">
        <v>5</v>
      </c>
      <c r="D18" s="27">
        <v>36</v>
      </c>
      <c r="E18" s="27">
        <v>36</v>
      </c>
      <c r="F18" s="28">
        <v>2</v>
      </c>
      <c r="G18" s="28">
        <v>15</v>
      </c>
      <c r="H18" s="82">
        <v>110.49</v>
      </c>
      <c r="I18" s="11">
        <f>HLOOKUP($C18,'Параметры ПФ'!$F$7:$K$12,6,FALSE)</f>
        <v>110.49</v>
      </c>
      <c r="J18" s="11">
        <f t="shared" si="3"/>
        <v>7955.28</v>
      </c>
      <c r="K18" s="12">
        <f>IF(J18&lt;'Параметры ПФ'!J$3+0.01,'Стандартные программы'!J18,ROUNDDOWN('Параметры ПФ'!J$3/IF(H18=0,I18,IF(I18&gt;H18,H18,I18)),0)*IF(H18=0,I18,IF(I18&gt;H18,H18,I18)))</f>
        <v>7955.28</v>
      </c>
      <c r="L18" s="11">
        <f t="shared" si="4"/>
        <v>119329.2</v>
      </c>
      <c r="M18" s="50">
        <f>IF(J18&lt;'Параметры ПФ'!J$3+0.01,E18*F18*G18,ROUNDDOWN('Параметры ПФ'!J$3/IF(H18=0,I18,IF(I18&gt;H18,H18,I18)),0)*G18)</f>
        <v>1080</v>
      </c>
      <c r="N18" s="40">
        <f t="shared" si="5"/>
        <v>0</v>
      </c>
      <c r="P18" s="38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10" t="s">
        <v>69</v>
      </c>
      <c r="B19" s="10" t="s">
        <v>71</v>
      </c>
      <c r="C19" s="10" t="s">
        <v>5</v>
      </c>
      <c r="D19" s="27">
        <v>36</v>
      </c>
      <c r="E19" s="27">
        <v>36</v>
      </c>
      <c r="F19" s="28">
        <v>2</v>
      </c>
      <c r="G19" s="28">
        <v>15</v>
      </c>
      <c r="H19" s="82">
        <v>110.49</v>
      </c>
      <c r="I19" s="11">
        <f>HLOOKUP($C19,'Параметры ПФ'!$F$7:$K$12,6,FALSE)</f>
        <v>110.49</v>
      </c>
      <c r="J19" s="11">
        <f t="shared" si="3"/>
        <v>7955.28</v>
      </c>
      <c r="K19" s="12">
        <f>IF(J19&lt;'Параметры ПФ'!J$3+0.01,'Стандартные программы'!J19,ROUNDDOWN('Параметры ПФ'!J$3/IF(H19=0,I19,IF(I19&gt;H19,H19,I19)),0)*IF(H19=0,I19,IF(I19&gt;H19,H19,I19)))</f>
        <v>7955.28</v>
      </c>
      <c r="L19" s="11">
        <f t="shared" si="4"/>
        <v>119329.2</v>
      </c>
      <c r="M19" s="50">
        <f>IF(J19&lt;'Параметры ПФ'!J$3+0.01,E19*F19*G19,ROUNDDOWN('Параметры ПФ'!J$3/IF(H19=0,I19,IF(I19&gt;H19,H19,I19)),0)*G19)</f>
        <v>1080</v>
      </c>
      <c r="N19" s="40">
        <f t="shared" si="5"/>
        <v>0</v>
      </c>
      <c r="P19" s="38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10" t="s">
        <v>69</v>
      </c>
      <c r="B20" s="10" t="s">
        <v>78</v>
      </c>
      <c r="C20" s="10" t="s">
        <v>7</v>
      </c>
      <c r="D20" s="27">
        <v>36</v>
      </c>
      <c r="E20" s="27">
        <v>36</v>
      </c>
      <c r="F20" s="28">
        <v>2</v>
      </c>
      <c r="G20" s="28">
        <v>15</v>
      </c>
      <c r="H20" s="82">
        <v>110.49</v>
      </c>
      <c r="I20" s="11">
        <f>HLOOKUP($C20,'Параметры ПФ'!$F$7:$K$12,6,FALSE)</f>
        <v>111.06</v>
      </c>
      <c r="J20" s="11">
        <f t="shared" si="3"/>
        <v>7955.28</v>
      </c>
      <c r="K20" s="12">
        <f>IF(J20&lt;'Параметры ПФ'!J$3+0.01,'Стандартные программы'!J20,ROUNDDOWN('Параметры ПФ'!J$3/IF(H20=0,I20,IF(I20&gt;H20,H20,I20)),0)*IF(H20=0,I20,IF(I20&gt;H20,H20,I20)))</f>
        <v>7955.28</v>
      </c>
      <c r="L20" s="11">
        <f t="shared" si="4"/>
        <v>119329.2</v>
      </c>
      <c r="M20" s="50">
        <f>IF(J20&lt;'Параметры ПФ'!J$3+0.01,E20*F20*G20,ROUNDDOWN('Параметры ПФ'!J$3/IF(H20=0,I20,IF(I20&gt;H20,H20,I20)),0)*G20)</f>
        <v>1080</v>
      </c>
      <c r="N20" s="40">
        <f t="shared" si="5"/>
        <v>0</v>
      </c>
      <c r="P20" s="38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10" t="s">
        <v>69</v>
      </c>
      <c r="B21" s="10" t="s">
        <v>78</v>
      </c>
      <c r="C21" s="10" t="s">
        <v>7</v>
      </c>
      <c r="D21" s="27">
        <v>36</v>
      </c>
      <c r="E21" s="27">
        <v>36</v>
      </c>
      <c r="F21" s="28">
        <v>2</v>
      </c>
      <c r="G21" s="28">
        <v>15</v>
      </c>
      <c r="H21" s="82">
        <v>110.49</v>
      </c>
      <c r="I21" s="11">
        <f>HLOOKUP($C21,'Параметры ПФ'!$F$7:$K$12,6,FALSE)</f>
        <v>111.06</v>
      </c>
      <c r="J21" s="11">
        <f t="shared" si="3"/>
        <v>7955.28</v>
      </c>
      <c r="K21" s="12">
        <f>IF(J21&lt;'Параметры ПФ'!J$3+0.01,'Стандартные программы'!J21,ROUNDDOWN('Параметры ПФ'!J$3/IF(H21=0,I21,IF(I21&gt;H21,H21,I21)),0)*IF(H21=0,I21,IF(I21&gt;H21,H21,I21)))</f>
        <v>7955.28</v>
      </c>
      <c r="L21" s="11">
        <f t="shared" si="4"/>
        <v>119329.2</v>
      </c>
      <c r="M21" s="50">
        <f>IF(J21&lt;'Параметры ПФ'!J$3+0.01,E21*F21*G21,ROUNDDOWN('Параметры ПФ'!J$3/IF(H21=0,I21,IF(I21&gt;H21,H21,I21)),0)*G21)</f>
        <v>1080</v>
      </c>
      <c r="N21" s="40">
        <f t="shared" si="5"/>
        <v>0</v>
      </c>
      <c r="P21" s="38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10" t="s">
        <v>69</v>
      </c>
      <c r="B22" s="10" t="s">
        <v>73</v>
      </c>
      <c r="C22" s="10" t="s">
        <v>4</v>
      </c>
      <c r="D22" s="27">
        <v>36</v>
      </c>
      <c r="E22" s="27">
        <v>36</v>
      </c>
      <c r="F22" s="28">
        <v>2</v>
      </c>
      <c r="G22" s="28">
        <v>7</v>
      </c>
      <c r="H22" s="82">
        <v>110.49</v>
      </c>
      <c r="I22" s="11">
        <f>HLOOKUP($C22,'Параметры ПФ'!$F$7:$K$12,6,FALSE)</f>
        <v>104.2</v>
      </c>
      <c r="J22" s="11">
        <f t="shared" ref="J22" si="6">IF(H22=0,I22*F22*E22,IF(I22&gt;H22,H22*F22*E22,I22*F22*E22))</f>
        <v>7502.4</v>
      </c>
      <c r="K22" s="12">
        <f>IF(J22&lt;'Параметры ПФ'!J$3+0.01,'Стандартные программы'!J22,ROUNDDOWN('Параметры ПФ'!J$3/IF(H22=0,I22,IF(I22&gt;H22,H22,I22)),0)*IF(H22=0,I22,IF(I22&gt;H22,H22,I22)))</f>
        <v>7502.4</v>
      </c>
      <c r="L22" s="11">
        <f t="shared" ref="L22" si="7">K22*G22</f>
        <v>52516.800000000003</v>
      </c>
      <c r="M22" s="50">
        <f>IF(J22&lt;'Параметры ПФ'!J$3+0.01,E22*F22*G22,ROUNDDOWN('Параметры ПФ'!J$3/IF(H22=0,I22,IF(I22&gt;H22,H22,I22)),0)*G22)</f>
        <v>504</v>
      </c>
      <c r="N22" s="40">
        <f t="shared" ref="N22" si="8">IF(H22=0,I22*F22*E22,IF(I22&gt;H22,H22*F22*E22,I22*F22*E22))-K22</f>
        <v>0</v>
      </c>
    </row>
    <row r="23" spans="1:16" x14ac:dyDescent="0.25">
      <c r="A23" s="10" t="s">
        <v>69</v>
      </c>
      <c r="B23" s="10" t="s">
        <v>77</v>
      </c>
      <c r="C23" s="10" t="s">
        <v>7</v>
      </c>
      <c r="D23" s="27">
        <v>36</v>
      </c>
      <c r="E23" s="27">
        <v>36</v>
      </c>
      <c r="F23" s="28">
        <v>2</v>
      </c>
      <c r="G23" s="28">
        <v>10</v>
      </c>
      <c r="H23" s="82">
        <v>110.49</v>
      </c>
      <c r="I23" s="11">
        <f>HLOOKUP($C23,'Параметры ПФ'!$F$7:$K$12,6,FALSE)</f>
        <v>111.06</v>
      </c>
      <c r="J23" s="11">
        <f t="shared" si="3"/>
        <v>7955.28</v>
      </c>
      <c r="K23" s="12">
        <f>IF(J23&lt;'Параметры ПФ'!J$3+0.01,'Стандартные программы'!J23,ROUNDDOWN('Параметры ПФ'!J$3/IF(H23=0,I23,IF(I23&gt;H23,H23,I23)),0)*IF(H23=0,I23,IF(I23&gt;H23,H23,I23)))</f>
        <v>7955.28</v>
      </c>
      <c r="L23" s="11">
        <f t="shared" si="4"/>
        <v>79552.800000000003</v>
      </c>
      <c r="M23" s="50">
        <f>IF(J23&lt;'Параметры ПФ'!J$3+0.01,E23*F23*G23,ROUNDDOWN('Параметры ПФ'!J$3/IF(H23=0,I23,IF(I23&gt;H23,H23,I23)),0)*G23)</f>
        <v>720</v>
      </c>
      <c r="N23" s="40">
        <f t="shared" si="5"/>
        <v>0</v>
      </c>
      <c r="P23" s="38">
        <f>IF(N23=0,0,IF(N23&gt;'[1]Расчет нормативных затрат'!J$2/2,0,IF(N23&lt;'[1]Расчет нормативных затрат'!J$2/3,2,1)))</f>
        <v>0</v>
      </c>
    </row>
    <row r="24" spans="1:16" x14ac:dyDescent="0.25">
      <c r="A24" s="101"/>
      <c r="B24" s="101"/>
      <c r="C24" s="101"/>
      <c r="D24" s="101"/>
      <c r="E24" s="101"/>
      <c r="F24" s="101"/>
      <c r="G24" s="13">
        <f>SUM(G2:G23)</f>
        <v>285</v>
      </c>
      <c r="H24" s="14" t="s">
        <v>30</v>
      </c>
      <c r="I24" s="15" t="s">
        <v>30</v>
      </c>
      <c r="J24" s="14" t="s">
        <v>30</v>
      </c>
      <c r="K24" s="15" t="s">
        <v>30</v>
      </c>
      <c r="L24" s="51">
        <f>SUM(L2:L23)</f>
        <v>2194410.6</v>
      </c>
      <c r="M24" s="52">
        <f>SUM(M2:M23)</f>
        <v>19980</v>
      </c>
      <c r="N24" s="41" t="s">
        <v>30</v>
      </c>
    </row>
    <row r="25" spans="1:16" x14ac:dyDescent="0.25">
      <c r="G25" s="26"/>
      <c r="I25" s="102"/>
      <c r="J25" s="102"/>
      <c r="K25" s="102"/>
      <c r="L25" s="36"/>
      <c r="M25" s="36"/>
    </row>
    <row r="26" spans="1:16" x14ac:dyDescent="0.25">
      <c r="J26" s="103"/>
      <c r="K26" s="103"/>
      <c r="L26" s="32"/>
      <c r="M26" s="32"/>
    </row>
  </sheetData>
  <autoFilter ref="A1:N26"/>
  <mergeCells count="3">
    <mergeCell ref="A24:F24"/>
    <mergeCell ref="I25:K25"/>
    <mergeCell ref="J26:K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N2:N21 N23</xm:sqref>
        </x14:conditionalFormatting>
        <x14:conditionalFormatting xmlns:xm="http://schemas.microsoft.com/office/excel/2006/main">
          <x14:cfRule type="cellIs" priority="1" operator="greaterThan" id="{2EDDD5E7-59E7-4713-995C-563A8B71F529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zoomScale="80" zoomScaleNormal="80" workbookViewId="0">
      <selection activeCell="G39" sqref="G39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46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47</v>
      </c>
      <c r="K1" s="43" t="s">
        <v>48</v>
      </c>
      <c r="L1" s="25" t="s">
        <v>36</v>
      </c>
      <c r="M1" s="25" t="s">
        <v>57</v>
      </c>
      <c r="N1" s="39" t="s">
        <v>49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3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43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43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43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1"/>
      <c r="B39" s="101"/>
      <c r="C39" s="101"/>
      <c r="D39" s="101"/>
      <c r="E39" s="101"/>
      <c r="F39" s="101"/>
      <c r="G39" s="13"/>
      <c r="H39" s="14"/>
      <c r="I39" s="15"/>
      <c r="J39" s="14"/>
      <c r="K39" s="15"/>
      <c r="L39" s="51"/>
      <c r="M39" s="57"/>
      <c r="N39" s="41"/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zoomScale="80" zoomScaleNormal="80" workbookViewId="0">
      <selection activeCell="G39" sqref="G39"/>
    </sheetView>
  </sheetViews>
  <sheetFormatPr defaultRowHeight="15.75" x14ac:dyDescent="0.25"/>
  <cols>
    <col min="1" max="3" width="24" customWidth="1"/>
    <col min="4" max="13" width="11.5" customWidth="1"/>
    <col min="14" max="14" width="16.5" customWidth="1"/>
  </cols>
  <sheetData>
    <row r="1" spans="1:14" ht="99.75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46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47</v>
      </c>
      <c r="K1" s="43" t="s">
        <v>48</v>
      </c>
      <c r="L1" s="25" t="s">
        <v>36</v>
      </c>
      <c r="M1" s="25" t="s">
        <v>57</v>
      </c>
      <c r="N1" s="39" t="s">
        <v>49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5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7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7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7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1"/>
      <c r="B39" s="101"/>
      <c r="C39" s="101"/>
      <c r="D39" s="101"/>
      <c r="E39" s="101"/>
      <c r="F39" s="101"/>
      <c r="G39" s="13"/>
      <c r="H39" s="14"/>
      <c r="I39" s="15"/>
      <c r="J39" s="14"/>
      <c r="K39" s="15"/>
      <c r="L39" s="51"/>
      <c r="M39" s="57"/>
      <c r="N39" s="41"/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G39" sqref="G39"/>
    </sheetView>
  </sheetViews>
  <sheetFormatPr defaultRowHeight="15.75" x14ac:dyDescent="0.2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46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47</v>
      </c>
      <c r="K1" s="43" t="s">
        <v>48</v>
      </c>
      <c r="L1" s="25" t="s">
        <v>36</v>
      </c>
      <c r="M1" s="25" t="s">
        <v>57</v>
      </c>
      <c r="N1" s="39" t="s">
        <v>49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5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7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7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7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1"/>
      <c r="B39" s="101"/>
      <c r="C39" s="101"/>
      <c r="D39" s="101"/>
      <c r="E39" s="101"/>
      <c r="F39" s="101"/>
      <c r="G39" s="13"/>
      <c r="H39" s="14"/>
      <c r="I39" s="15"/>
      <c r="J39" s="14"/>
      <c r="K39" s="15"/>
      <c r="L39" s="51"/>
      <c r="M39" s="57"/>
      <c r="N39" s="41"/>
    </row>
  </sheetData>
  <mergeCells count="1">
    <mergeCell ref="A39:F39"/>
  </mergeCells>
  <conditionalFormatting sqref="N2:N38">
    <cfRule type="cellIs" dxfId="0" priority="1" operator="greaterThan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2021-11-22T06:37:09Z</cp:lastPrinted>
  <dcterms:created xsi:type="dcterms:W3CDTF">2019-03-03T02:50:35Z</dcterms:created>
  <dcterms:modified xsi:type="dcterms:W3CDTF">2021-11-22T06:43:09Z</dcterms:modified>
</cp:coreProperties>
</file>